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 tabRatio="649"/>
  </bookViews>
  <sheets>
    <sheet name="3 Linien" sheetId="27" r:id="rId1"/>
  </sheets>
  <definedNames>
    <definedName name="_xlnm.Print_Area" localSheetId="0">'3 Linien'!$B$1:$Y$51</definedName>
  </definedNames>
  <calcPr calcId="145621"/>
</workbook>
</file>

<file path=xl/calcChain.xml><?xml version="1.0" encoding="utf-8"?>
<calcChain xmlns="http://schemas.openxmlformats.org/spreadsheetml/2006/main">
  <c r="AF82" i="27" l="1"/>
  <c r="N59" i="27" l="1"/>
  <c r="N58" i="27" l="1"/>
  <c r="AB65" i="27" l="1"/>
  <c r="AB64" i="27"/>
  <c r="AB63" i="27"/>
  <c r="AA65" i="27"/>
  <c r="AA64" i="27"/>
  <c r="AA63" i="27"/>
  <c r="N55" i="27" l="1"/>
  <c r="N56" i="27"/>
  <c r="N60" i="27"/>
  <c r="L88" i="27"/>
  <c r="AK63" i="27" l="1"/>
  <c r="AL63" i="27" s="1"/>
  <c r="AB137" i="27"/>
  <c r="AB124" i="27" l="1"/>
  <c r="AB130" i="27"/>
  <c r="AB120" i="27"/>
  <c r="AB134" i="27"/>
  <c r="AB122" i="27"/>
  <c r="AC64" i="27" l="1"/>
  <c r="AC65" i="27"/>
  <c r="AC63" i="27"/>
  <c r="L87" i="27" l="1"/>
  <c r="L86" i="27"/>
  <c r="L92" i="27" l="1"/>
  <c r="AA109" i="27" l="1"/>
  <c r="L91" i="27" l="1"/>
  <c r="AB114" i="27" l="1"/>
  <c r="AB115" i="27"/>
  <c r="AB116" i="27"/>
  <c r="AB113" i="27"/>
  <c r="N5" i="27" l="1"/>
  <c r="N67" i="27" l="1"/>
  <c r="N72" i="27" s="1"/>
  <c r="N4" i="27"/>
  <c r="N91" i="27"/>
  <c r="N92" i="27"/>
  <c r="O5" i="27"/>
  <c r="N71" i="27" l="1"/>
  <c r="N73" i="27"/>
  <c r="O67" i="27"/>
  <c r="O71" i="27" s="1"/>
  <c r="O4" i="27"/>
  <c r="O91" i="27"/>
  <c r="O92" i="27"/>
  <c r="P5" i="27"/>
  <c r="O73" i="27" l="1"/>
  <c r="O72" i="27"/>
  <c r="P67" i="27"/>
  <c r="P72" i="27" s="1"/>
  <c r="P4" i="27"/>
  <c r="P91" i="27"/>
  <c r="P92" i="27"/>
  <c r="Q5" i="27"/>
  <c r="P71" i="27" l="1"/>
  <c r="P73" i="27"/>
  <c r="Q67" i="27"/>
  <c r="Q72" i="27" s="1"/>
  <c r="Q4" i="27"/>
  <c r="Q91" i="27"/>
  <c r="Q92" i="27"/>
  <c r="R5" i="27"/>
  <c r="R4" i="27" s="1"/>
  <c r="Q73" i="27" l="1"/>
  <c r="Q71" i="27"/>
  <c r="R92" i="27"/>
  <c r="R67" i="27"/>
  <c r="S5" i="27"/>
  <c r="R91" i="27"/>
  <c r="S67" i="27" l="1"/>
  <c r="S73" i="27" s="1"/>
  <c r="S4" i="27"/>
  <c r="R72" i="27"/>
  <c r="R73" i="27"/>
  <c r="S71" i="27"/>
  <c r="R71" i="27"/>
  <c r="T5" i="27"/>
  <c r="S91" i="27"/>
  <c r="S92" i="27"/>
  <c r="S72" i="27" l="1"/>
  <c r="T67" i="27"/>
  <c r="T73" i="27" s="1"/>
  <c r="T4" i="27"/>
  <c r="T92" i="27"/>
  <c r="U5" i="27"/>
  <c r="T91" i="27"/>
  <c r="T71" i="27" l="1"/>
  <c r="T72" i="27"/>
  <c r="U67" i="27"/>
  <c r="U72" i="27" s="1"/>
  <c r="U4" i="27"/>
  <c r="V5" i="27"/>
  <c r="U91" i="27"/>
  <c r="U92" i="27"/>
  <c r="V67" i="27" l="1"/>
  <c r="V71" i="27" s="1"/>
  <c r="V4" i="27"/>
  <c r="U71" i="27"/>
  <c r="U73" i="27"/>
  <c r="V91" i="27"/>
  <c r="W5" i="27"/>
  <c r="V92" i="27"/>
  <c r="V73" i="27" l="1"/>
  <c r="V72" i="27"/>
  <c r="V99" i="27"/>
  <c r="V96" i="27"/>
  <c r="W67" i="27"/>
  <c r="W4" i="27"/>
  <c r="X5" i="27"/>
  <c r="W91" i="27"/>
  <c r="W92" i="27"/>
  <c r="W96" i="27" l="1"/>
  <c r="W99" i="27"/>
  <c r="W71" i="27"/>
  <c r="W73" i="27"/>
  <c r="W72" i="27"/>
  <c r="X91" i="27"/>
  <c r="X4" i="27"/>
  <c r="Y5" i="27"/>
  <c r="X67" i="27"/>
  <c r="X92" i="27"/>
  <c r="AA110" i="27"/>
  <c r="X73" i="27" l="1"/>
  <c r="X96" i="27"/>
  <c r="X99" i="27"/>
  <c r="Y92" i="27"/>
  <c r="Y4" i="27"/>
  <c r="Y91" i="27"/>
  <c r="X72" i="27"/>
  <c r="Y67" i="27"/>
  <c r="Y72" i="27" s="1"/>
  <c r="X71" i="27"/>
  <c r="W97" i="27"/>
  <c r="W100" i="27"/>
  <c r="S97" i="27"/>
  <c r="S100" i="27"/>
  <c r="U97" i="27"/>
  <c r="T97" i="27"/>
  <c r="T100" i="27"/>
  <c r="U100" i="27"/>
  <c r="V97" i="27"/>
  <c r="V100" i="27"/>
  <c r="O97" i="27"/>
  <c r="Q97" i="27"/>
  <c r="N97" i="27"/>
  <c r="N100" i="27"/>
  <c r="R97" i="27"/>
  <c r="P100" i="27"/>
  <c r="Q100" i="27"/>
  <c r="O100" i="27"/>
  <c r="R100" i="27"/>
  <c r="P97" i="27"/>
  <c r="AD116" i="27"/>
  <c r="Y96" i="27" l="1"/>
  <c r="Y99" i="27"/>
  <c r="Y71" i="27"/>
  <c r="AA70" i="27" s="1"/>
  <c r="X100" i="27"/>
  <c r="Y73" i="27"/>
  <c r="X97" i="27"/>
  <c r="AA72" i="27" l="1"/>
  <c r="Y100" i="27"/>
  <c r="AA71" i="27"/>
  <c r="AA76" i="27" s="1"/>
  <c r="S76" i="27" s="1"/>
  <c r="AA73" i="27"/>
  <c r="Y97" i="27"/>
  <c r="X78" i="27" l="1"/>
  <c r="S77" i="27"/>
  <c r="W76" i="27"/>
  <c r="X76" i="27"/>
  <c r="V77" i="27"/>
  <c r="T78" i="27"/>
  <c r="Y78" i="27"/>
  <c r="Q77" i="27"/>
  <c r="Q78" i="27"/>
  <c r="Y76" i="27"/>
  <c r="U77" i="27"/>
  <c r="P77" i="27"/>
  <c r="N78" i="27"/>
  <c r="R77" i="27"/>
  <c r="T77" i="27"/>
  <c r="V76" i="27"/>
  <c r="S78" i="27"/>
  <c r="W77" i="27"/>
  <c r="O78" i="27"/>
  <c r="U78" i="27"/>
  <c r="Y77" i="27"/>
  <c r="N77" i="27"/>
  <c r="Q76" i="27"/>
  <c r="R78" i="27"/>
  <c r="U76" i="27"/>
  <c r="N76" i="27"/>
  <c r="O77" i="27"/>
  <c r="W78" i="27"/>
  <c r="X77" i="27"/>
  <c r="T76" i="27"/>
  <c r="O76" i="27"/>
  <c r="R76" i="27"/>
  <c r="V78" i="27"/>
  <c r="P76" i="27"/>
  <c r="P78" i="27"/>
  <c r="Q96" i="27" l="1"/>
  <c r="O96" i="27"/>
  <c r="S96" i="27"/>
  <c r="R96" i="27"/>
  <c r="P96" i="27"/>
  <c r="U99" i="27"/>
  <c r="Q99" i="27"/>
  <c r="T99" i="27"/>
  <c r="S99" i="27"/>
  <c r="R99" i="27"/>
  <c r="P99" i="27"/>
  <c r="N99" i="27"/>
  <c r="AA83" i="27"/>
  <c r="AA82" i="27"/>
  <c r="AC82" i="27"/>
  <c r="AA81" i="27"/>
  <c r="AB82" i="27"/>
  <c r="AB81" i="27"/>
  <c r="AC83" i="27"/>
  <c r="AC81" i="27"/>
  <c r="AB83" i="27"/>
  <c r="AH82" i="27" l="1"/>
  <c r="AH81" i="27"/>
  <c r="AH83" i="27" s="1"/>
  <c r="AK83" i="27" s="1"/>
  <c r="U96" i="27"/>
  <c r="T96" i="27" l="1"/>
  <c r="N96" i="27"/>
  <c r="O99" i="27"/>
  <c r="T87" i="27"/>
  <c r="AB138" i="27"/>
  <c r="AD138" i="27" s="1"/>
  <c r="N88" i="27"/>
  <c r="Q88" i="27"/>
  <c r="S86" i="27"/>
  <c r="AB131" i="27"/>
  <c r="AD131" i="27" s="1"/>
  <c r="Q87" i="27"/>
  <c r="O86" i="27"/>
  <c r="V87" i="27"/>
  <c r="X87" i="27"/>
  <c r="AB135" i="27"/>
  <c r="AD135" i="27" s="1"/>
  <c r="N86" i="27"/>
  <c r="P86" i="27"/>
  <c r="T88" i="27"/>
  <c r="S88" i="27"/>
  <c r="O87" i="27"/>
  <c r="V86" i="27"/>
  <c r="U87" i="27"/>
  <c r="Y86" i="27"/>
  <c r="T86" i="27"/>
  <c r="R86" i="27"/>
  <c r="R88" i="27"/>
  <c r="X88" i="27"/>
  <c r="O88" i="27"/>
  <c r="U88" i="27"/>
  <c r="P88" i="27"/>
  <c r="X86" i="27"/>
  <c r="Y87" i="27"/>
  <c r="U86" i="27"/>
  <c r="V88" i="27"/>
  <c r="Q86" i="27"/>
  <c r="N87" i="27"/>
  <c r="P87" i="27"/>
  <c r="Y88" i="27"/>
  <c r="W88" i="27"/>
  <c r="S87" i="27"/>
  <c r="R87" i="27"/>
  <c r="W86" i="27"/>
  <c r="W87" i="27"/>
</calcChain>
</file>

<file path=xl/sharedStrings.xml><?xml version="1.0" encoding="utf-8"?>
<sst xmlns="http://schemas.openxmlformats.org/spreadsheetml/2006/main" count="112" uniqueCount="98">
  <si>
    <t>www.heroldgmbh.ch</t>
  </si>
  <si>
    <t>info@heroldgmbh.ch</t>
  </si>
  <si>
    <t>Herold GmbH, Maiackerstrasse 29, CH 6345 Neuheim</t>
  </si>
  <si>
    <t>Diagrammtitel</t>
  </si>
  <si>
    <t>Aktuelles Jahr</t>
  </si>
  <si>
    <t>#'##0</t>
  </si>
  <si>
    <t>#'##0.0</t>
  </si>
  <si>
    <t>#'##0.00</t>
  </si>
  <si>
    <t>Anzahl Komma-Stellen</t>
  </si>
  <si>
    <t>Werteeinblendung effektiv, falls "Auto"</t>
  </si>
  <si>
    <t>in CHF</t>
  </si>
  <si>
    <t>in TCHF</t>
  </si>
  <si>
    <t>in MCHF</t>
  </si>
  <si>
    <t>in BCHF</t>
  </si>
  <si>
    <t>Einblendung der Zahlendarstellung</t>
  </si>
  <si>
    <t>Zuordnung Anzahl Kommastellen</t>
  </si>
  <si>
    <t>Berechnung Werteeinblendung</t>
  </si>
  <si>
    <t>Zuordnung für die Einblendung im Diagramm</t>
  </si>
  <si>
    <t>Ja</t>
  </si>
  <si>
    <t>Datum der aktuellsten Monatsdaten</t>
  </si>
  <si>
    <t>Darstellung für Einblendung</t>
  </si>
  <si>
    <t>Beschriftung</t>
  </si>
  <si>
    <t>alle Werte negativ</t>
  </si>
  <si>
    <t>alle Werte positiv</t>
  </si>
  <si>
    <t>positive und negative Werte</t>
  </si>
  <si>
    <t>im Diagramm</t>
  </si>
  <si>
    <t>Die Formate des Diagramms können mit den Standard-Funktionen von Excel nach Anforderung des Benützers geändert werden.</t>
  </si>
  <si>
    <t>Formatdarstellung in xCHF</t>
  </si>
  <si>
    <t>Negative Werte negativ einblenden</t>
  </si>
  <si>
    <t>Beschriftung neg</t>
  </si>
  <si>
    <t>Werte 1</t>
  </si>
  <si>
    <t>Werte 2</t>
  </si>
  <si>
    <t>Text Legende 1</t>
  </si>
  <si>
    <t>Text Legende 2</t>
  </si>
  <si>
    <t>Normierungsfaktor zur 100% Ausnützung</t>
  </si>
  <si>
    <t>Normierte Darstellung</t>
  </si>
  <si>
    <t>Normierte Darstellung gezoomt</t>
  </si>
  <si>
    <t>Werte 3</t>
  </si>
  <si>
    <t>max Ausdehnung Werte 2</t>
  </si>
  <si>
    <t>max Ausdehnung Werte 3</t>
  </si>
  <si>
    <t>max Ausdehnung Werte 1</t>
  </si>
  <si>
    <t>Differenz</t>
  </si>
  <si>
    <t>minimum</t>
  </si>
  <si>
    <t>maximum</t>
  </si>
  <si>
    <t>definitiver Bereich</t>
  </si>
  <si>
    <t>von</t>
  </si>
  <si>
    <t>bis</t>
  </si>
  <si>
    <t>Ausdehnung</t>
  </si>
  <si>
    <t>Faktor für Zoom</t>
  </si>
  <si>
    <t>Werte 2 verwenden</t>
  </si>
  <si>
    <t>Werte 3 verwenden</t>
  </si>
  <si>
    <t>abhängig der gewählten Werte</t>
  </si>
  <si>
    <t>y-Achse für Beschriftung max</t>
  </si>
  <si>
    <t>y-Achse für Beschriftung min</t>
  </si>
  <si>
    <t>aktive Monate</t>
  </si>
  <si>
    <t>Auto</t>
  </si>
  <si>
    <t>Punkt unten</t>
  </si>
  <si>
    <t>Punkt oben</t>
  </si>
  <si>
    <t>Datenbeschriftung unten</t>
  </si>
  <si>
    <t>Datenbeschriftung oben</t>
  </si>
  <si>
    <t>Punkt Mitte</t>
  </si>
  <si>
    <t>Datenbeschriftung Mitte</t>
  </si>
  <si>
    <t>horizontale Achse unten</t>
  </si>
  <si>
    <t>horizontale Achse Mitte</t>
  </si>
  <si>
    <t>horizontale Achse oben</t>
  </si>
  <si>
    <t>Hilfslinien einblenden</t>
  </si>
  <si>
    <t>Werte 1 Beurteilung</t>
  </si>
  <si>
    <t>Werte 2 Beurteilung</t>
  </si>
  <si>
    <t>Werte 3 Beurteilung</t>
  </si>
  <si>
    <t>Werte 1 aus Eingabe</t>
  </si>
  <si>
    <t>Werte 2 aus Eingabe</t>
  </si>
  <si>
    <t>Werte 3 aus Eingabe</t>
  </si>
  <si>
    <t>alle Werte sind negativ, aber positiv einblenden</t>
  </si>
  <si>
    <t>Werte-Reihe 1</t>
  </si>
  <si>
    <t>Werte-Reihe 2</t>
  </si>
  <si>
    <t>Werte-Reihe 3</t>
  </si>
  <si>
    <t>Erklärung: Liniendiagramm für 3 Werte-Reihen, Zoom für die Anzeige der max. Ausdehnung, positiv und negativ</t>
  </si>
  <si>
    <t>Liniendiagramm mit Zoomfunktion für 3 Werte-Reihen</t>
  </si>
  <si>
    <t>Der Schieberegler dient als Zoom, die Differenz des grössten zum kleinsten Wert kann dadurch verändert werden.</t>
  </si>
  <si>
    <t>Das Diagramm funktioniert mit positiven und negativen oder gemischten Werte-Reihen.</t>
  </si>
  <si>
    <t>Nachher können die nicht benötigten Einblendungen gelöscht werden.</t>
  </si>
  <si>
    <t>Falls die Werte-Reihe wieder zugefügt werden möchte, müssen alle Werte-Reihen eingeblendet werden.</t>
  </si>
  <si>
    <t>Falls weniger als 3 Wertereihen benützt werden, muss die nicht benötigte Werte-Reihe in der Legende manuell gelöscht werden.</t>
  </si>
  <si>
    <t>© Copyright  Herold GmbH</t>
  </si>
  <si>
    <t>Rechte der Benutzer</t>
  </si>
  <si>
    <t>Das Diagramm kann beliebig verwendet werden, alle Rechte bleiben bei der Herold GmbH.</t>
  </si>
  <si>
    <t>Die Herold GmbH übernimmt für die Richtigkeit und Vollständigkeit der Inhalte  keine Gewähr. Es werden keine Garantie übernommen und keine Zusicherung von Produkteigenschaften gemacht. Aus der Verwendung dieses Excel-Files und des Diagramms können keine Rechtsansprüche gegenüber der Herold GmbH erhoben werden.</t>
  </si>
  <si>
    <t>einblenden</t>
  </si>
  <si>
    <t>Ausnützung des Diagramms (Zoom)</t>
  </si>
  <si>
    <t>Liniendiagramm für 3 Wertereihen mit Zoom</t>
  </si>
  <si>
    <t>Text für IST Werte</t>
  </si>
  <si>
    <t>Text für BUD Werte</t>
  </si>
  <si>
    <t>Text für Vorjahres (Vergleichs) -werte</t>
  </si>
  <si>
    <t>Text Legende 3</t>
  </si>
  <si>
    <t>Werte einblenden</t>
  </si>
  <si>
    <t>ausblenden</t>
  </si>
  <si>
    <t>Automatische Erkennung von nur negativen Werte, und deren positive Darstellung, die Vorzeichen werden korrekt berücksichtigt</t>
  </si>
  <si>
    <t>Limitierung: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</si>
</sst>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m"/>
    <numFmt numFmtId="165" formatCode="#,##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860030"/>
      <name val="Calibri"/>
      <family val="2"/>
      <scheme val="minor"/>
    </font>
    <font>
      <b/>
      <sz val="12"/>
      <color rgb="FF860030"/>
      <name val="Calibri"/>
      <family val="2"/>
      <scheme val="minor"/>
    </font>
    <font>
      <sz val="11"/>
      <color rgb="FF860030"/>
      <name val="Calibri"/>
      <family val="2"/>
      <scheme val="minor"/>
    </font>
    <font>
      <b/>
      <sz val="11"/>
      <color rgb="FF86003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6003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3">
    <xf numFmtId="0" fontId="0" fillId="0" borderId="0"/>
    <xf numFmtId="0" fontId="1" fillId="4" borderId="1" applyNumberFormat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17" fontId="0" fillId="0" borderId="0" xfId="0" applyNumberFormat="1"/>
    <xf numFmtId="0" fontId="0" fillId="3" borderId="1" xfId="0" applyFill="1" applyBorder="1"/>
    <xf numFmtId="164" fontId="0" fillId="3" borderId="1" xfId="0" applyNumberFormat="1" applyFill="1" applyBorder="1"/>
    <xf numFmtId="3" fontId="0" fillId="2" borderId="1" xfId="0" applyNumberFormat="1" applyFill="1" applyBorder="1"/>
    <xf numFmtId="3" fontId="0" fillId="5" borderId="1" xfId="1" applyNumberFormat="1" applyFont="1" applyFill="1"/>
    <xf numFmtId="0" fontId="0" fillId="3" borderId="1" xfId="0" applyFill="1" applyBorder="1" applyAlignment="1">
      <alignment horizontal="center"/>
    </xf>
    <xf numFmtId="49" fontId="0" fillId="2" borderId="1" xfId="0" applyNumberFormat="1" applyFill="1" applyBorder="1"/>
    <xf numFmtId="164" fontId="0" fillId="6" borderId="1" xfId="0" applyNumberFormat="1" applyFill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 applyBorder="1"/>
    <xf numFmtId="3" fontId="0" fillId="3" borderId="1" xfId="0" applyNumberFormat="1" applyFill="1" applyBorder="1"/>
    <xf numFmtId="0" fontId="0" fillId="0" borderId="0" xfId="0" applyAlignment="1">
      <alignment horizontal="right"/>
    </xf>
    <xf numFmtId="10" fontId="0" fillId="3" borderId="1" xfId="0" applyNumberFormat="1" applyFill="1" applyBorder="1"/>
    <xf numFmtId="9" fontId="0" fillId="3" borderId="1" xfId="0" applyNumberFormat="1" applyFill="1" applyBorder="1"/>
    <xf numFmtId="0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0" fontId="0" fillId="0" borderId="0" xfId="0" applyAlignment="1">
      <alignment wrapText="1"/>
    </xf>
    <xf numFmtId="0" fontId="5" fillId="7" borderId="0" xfId="2" applyFont="1" applyFill="1"/>
    <xf numFmtId="0" fontId="6" fillId="7" borderId="0" xfId="0" applyFont="1" applyFill="1" applyAlignment="1">
      <alignment horizontal="center"/>
    </xf>
    <xf numFmtId="0" fontId="7" fillId="7" borderId="0" xfId="0" applyFont="1" applyFill="1"/>
    <xf numFmtId="0" fontId="8" fillId="7" borderId="0" xfId="0" applyFont="1" applyFill="1"/>
    <xf numFmtId="0" fontId="3" fillId="8" borderId="0" xfId="0" applyFont="1" applyFill="1" applyBorder="1" applyAlignment="1">
      <alignment horizontal="center"/>
    </xf>
    <xf numFmtId="0" fontId="2" fillId="7" borderId="0" xfId="0" applyFont="1" applyFill="1"/>
    <xf numFmtId="17" fontId="0" fillId="3" borderId="1" xfId="0" applyNumberFormat="1" applyFill="1" applyBorder="1"/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</cellXfs>
  <cellStyles count="3">
    <cellStyle name="Entry" xfId="1"/>
    <cellStyle name="Hyperlink" xfId="2" builtinId="8"/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C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'3 Linien'!$N$10:$U$10</c:f>
          <c:strCache>
            <c:ptCount val="1"/>
            <c:pt idx="0">
              <c:v>Liniendiagramm für 3 Wertereihen mit Zoom</c:v>
            </c:pt>
          </c:strCache>
        </c:strRef>
      </c:tx>
      <c:layout>
        <c:manualLayout>
          <c:xMode val="edge"/>
          <c:yMode val="edge"/>
          <c:x val="2.0648559582495892E-2"/>
          <c:y val="1.8667790980517147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'3 Linien'!$L$86</c:f>
              <c:strCache>
                <c:ptCount val="1"/>
                <c:pt idx="0">
                  <c:v>Text für IST Werte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 Linien'!$N$4:$Y$4</c:f>
              <c:numCache>
                <c:formatCode>mmm\-yy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'3 Linien'!$N$86:$Y$86</c:f>
              <c:numCache>
                <c:formatCode>#,##0</c:formatCode>
                <c:ptCount val="12"/>
                <c:pt idx="0">
                  <c:v>20.588235294117649</c:v>
                </c:pt>
                <c:pt idx="1">
                  <c:v>25.93582887700536</c:v>
                </c:pt>
                <c:pt idx="2">
                  <c:v>31.283422459893071</c:v>
                </c:pt>
                <c:pt idx="3">
                  <c:v>36.631016042780722</c:v>
                </c:pt>
                <c:pt idx="4">
                  <c:v>41.978609625668433</c:v>
                </c:pt>
                <c:pt idx="5">
                  <c:v>47.326203208556144</c:v>
                </c:pt>
                <c:pt idx="6">
                  <c:v>52.673796791443849</c:v>
                </c:pt>
                <c:pt idx="7">
                  <c:v>58.02139037433156</c:v>
                </c:pt>
                <c:pt idx="8">
                  <c:v>63.368983957219271</c:v>
                </c:pt>
                <c:pt idx="9">
                  <c:v>68.716577540106925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 Linien'!$L$87</c:f>
              <c:strCache>
                <c:ptCount val="1"/>
                <c:pt idx="0">
                  <c:v>Text für BUD Werte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 Linien'!$N$4:$Y$4</c:f>
              <c:numCache>
                <c:formatCode>mmm\-yy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'3 Linien'!$N$87:$Y$87</c:f>
              <c:numCache>
                <c:formatCode>#,##0</c:formatCode>
                <c:ptCount val="12"/>
                <c:pt idx="0">
                  <c:v>25.93582887700536</c:v>
                </c:pt>
                <c:pt idx="1">
                  <c:v>31.283422459893071</c:v>
                </c:pt>
                <c:pt idx="2">
                  <c:v>36.631016042780722</c:v>
                </c:pt>
                <c:pt idx="3">
                  <c:v>41.978609625668433</c:v>
                </c:pt>
                <c:pt idx="4">
                  <c:v>47.326203208556144</c:v>
                </c:pt>
                <c:pt idx="5">
                  <c:v>52.673796791443849</c:v>
                </c:pt>
                <c:pt idx="6">
                  <c:v>58.02139037433156</c:v>
                </c:pt>
                <c:pt idx="7">
                  <c:v>63.368983957219271</c:v>
                </c:pt>
                <c:pt idx="8">
                  <c:v>68.716577540106925</c:v>
                </c:pt>
                <c:pt idx="9">
                  <c:v>74.064171122994637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'3 Linien'!$L$88</c:f>
              <c:strCache>
                <c:ptCount val="1"/>
                <c:pt idx="0">
                  <c:v>Text für Vorjahres (Vergleichs) -werte</c:v>
                </c:pt>
              </c:strCache>
            </c:strRef>
          </c:tx>
          <c:spPr>
            <a:ln w="38100"/>
          </c:spPr>
          <c:marker>
            <c:symbol val="none"/>
          </c:marker>
          <c:cat>
            <c:numRef>
              <c:f>'3 Linien'!$N$4:$Y$4</c:f>
              <c:numCache>
                <c:formatCode>mmm\-yy</c:formatCode>
                <c:ptCount val="12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</c:numCache>
            </c:numRef>
          </c:cat>
          <c:val>
            <c:numRef>
              <c:f>'3 Linien'!$N$88:$Y$88</c:f>
              <c:numCache>
                <c:formatCode>#,##0</c:formatCode>
                <c:ptCount val="12"/>
                <c:pt idx="0">
                  <c:v>31.283422459893071</c:v>
                </c:pt>
                <c:pt idx="1">
                  <c:v>36.631016042780722</c:v>
                </c:pt>
                <c:pt idx="2">
                  <c:v>41.978609625668433</c:v>
                </c:pt>
                <c:pt idx="3">
                  <c:v>47.326203208556144</c:v>
                </c:pt>
                <c:pt idx="4">
                  <c:v>52.673796791443849</c:v>
                </c:pt>
                <c:pt idx="5">
                  <c:v>58.02139037433156</c:v>
                </c:pt>
                <c:pt idx="6">
                  <c:v>63.368983957219271</c:v>
                </c:pt>
                <c:pt idx="7">
                  <c:v>68.716577540106925</c:v>
                </c:pt>
                <c:pt idx="8">
                  <c:v>74.064171122994637</c:v>
                </c:pt>
                <c:pt idx="9">
                  <c:v>79.411764705882348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73024"/>
        <c:axId val="127874560"/>
      </c:lineChart>
      <c:scatterChart>
        <c:scatterStyle val="lineMarker"/>
        <c:varyColors val="0"/>
        <c:ser>
          <c:idx val="3"/>
          <c:order val="3"/>
          <c:tx>
            <c:strRef>
              <c:f>'3 Linien'!$L$96</c:f>
              <c:strCache>
                <c:ptCount val="1"/>
                <c:pt idx="0">
                  <c:v>y-Achse für Beschriftung max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/>
              <c:tx>
                <c:strRef>
                  <c:f>'3 Linien'!$N$97</c:f>
                  <c:strCache>
                    <c:ptCount val="1"/>
                    <c:pt idx="0">
                      <c:v>69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'3 Linien'!$O$97</c:f>
                  <c:strCache>
                    <c:ptCount val="1"/>
                    <c:pt idx="0">
                      <c:v>70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strRef>
                  <c:f>'3 Linien'!$P$97</c:f>
                  <c:strCache>
                    <c:ptCount val="1"/>
                    <c:pt idx="0">
                      <c:v>71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strRef>
                  <c:f>'3 Linien'!$Q$97</c:f>
                  <c:strCache>
                    <c:ptCount val="1"/>
                    <c:pt idx="0">
                      <c:v>72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strRef>
                  <c:f>'3 Linien'!$R$97</c:f>
                  <c:strCache>
                    <c:ptCount val="1"/>
                    <c:pt idx="0">
                      <c:v>73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strRef>
                  <c:f>'3 Linien'!$S$97</c:f>
                  <c:strCache>
                    <c:ptCount val="1"/>
                    <c:pt idx="0">
                      <c:v>74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strRef>
                  <c:f>'3 Linien'!$T$97</c:f>
                  <c:strCache>
                    <c:ptCount val="1"/>
                    <c:pt idx="0">
                      <c:v>75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strRef>
                  <c:f>'3 Linien'!$U$97</c:f>
                  <c:strCache>
                    <c:ptCount val="1"/>
                    <c:pt idx="0">
                      <c:v>76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strRef>
                  <c:f>'3 Linien'!$V$97</c:f>
                  <c:strCache>
                    <c:ptCount val="1"/>
                    <c:pt idx="0">
                      <c:v>77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strRef>
                  <c:f>'3 Linien'!$W$97</c:f>
                  <c:strCache>
                    <c:ptCount val="1"/>
                    <c:pt idx="0">
                      <c:v>78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strRef>
                  <c:f>'3 Linien'!$X$97</c:f>
                  <c:strCache>
                    <c:ptCount val="1"/>
                    <c:pt idx="0">
                      <c:v>#NV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strRef>
                  <c:f>'3 Linien'!$Y$97</c:f>
                  <c:strCache>
                    <c:ptCount val="1"/>
                    <c:pt idx="0">
                      <c:v>#NV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strRef>
                  <c:f>'3 Linien'!$Y$97</c:f>
                  <c:strCache>
                    <c:ptCount val="1"/>
                    <c:pt idx="0">
                      <c:v>#NV</c:v>
                    </c:pt>
                  </c:strCache>
                </c:strRef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'3 Linien'!$N$96:$Y$96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'3 Linien'!$L$99</c:f>
              <c:strCache>
                <c:ptCount val="1"/>
                <c:pt idx="0">
                  <c:v>y-Achse für Beschriftung min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layout/>
              <c:tx>
                <c:strRef>
                  <c:f>'3 Linien'!$N$100</c:f>
                  <c:strCache>
                    <c:ptCount val="1"/>
                    <c:pt idx="0">
                      <c:v>67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'3 Linien'!$O$100</c:f>
                  <c:strCache>
                    <c:ptCount val="1"/>
                    <c:pt idx="0">
                      <c:v>68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strRef>
                  <c:f>'3 Linien'!$P$100</c:f>
                  <c:strCache>
                    <c:ptCount val="1"/>
                    <c:pt idx="0">
                      <c:v>69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strRef>
                  <c:f>'3 Linien'!$Q$100</c:f>
                  <c:strCache>
                    <c:ptCount val="1"/>
                    <c:pt idx="0">
                      <c:v>70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strRef>
                  <c:f>'3 Linien'!$R$100</c:f>
                  <c:strCache>
                    <c:ptCount val="1"/>
                    <c:pt idx="0">
                      <c:v>71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strRef>
                  <c:f>'3 Linien'!$S$100</c:f>
                  <c:strCache>
                    <c:ptCount val="1"/>
                    <c:pt idx="0">
                      <c:v>72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tx>
                <c:strRef>
                  <c:f>'3 Linien'!$T$100</c:f>
                  <c:strCache>
                    <c:ptCount val="1"/>
                    <c:pt idx="0">
                      <c:v>73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tx>
                <c:strRef>
                  <c:f>'3 Linien'!$U$100</c:f>
                  <c:strCache>
                    <c:ptCount val="1"/>
                    <c:pt idx="0">
                      <c:v>74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tx>
                <c:strRef>
                  <c:f>'3 Linien'!$V$100</c:f>
                  <c:strCache>
                    <c:ptCount val="1"/>
                    <c:pt idx="0">
                      <c:v>75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tx>
                <c:strRef>
                  <c:f>'3 Linien'!$W$100</c:f>
                  <c:strCache>
                    <c:ptCount val="1"/>
                    <c:pt idx="0">
                      <c:v>76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/>
              <c:tx>
                <c:strRef>
                  <c:f>'3 Linien'!$X$100</c:f>
                  <c:strCache>
                    <c:ptCount val="1"/>
                    <c:pt idx="0">
                      <c:v>#NV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tx>
                <c:strRef>
                  <c:f>'3 Linien'!$Y$100</c:f>
                  <c:strCache>
                    <c:ptCount val="1"/>
                    <c:pt idx="0">
                      <c:v>#NV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tx>
                <c:strRef>
                  <c:f>'3 Linien'!$Y$100</c:f>
                  <c:strCache>
                    <c:ptCount val="1"/>
                    <c:pt idx="0">
                      <c:v>#NV</c:v>
                    </c:pt>
                  </c:strCache>
                </c:strRef>
              </c:tx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yVal>
            <c:numRef>
              <c:f>'3 Linien'!$N$99:$Y$99</c:f>
              <c:numCache>
                <c:formatCode>#,##0</c:formatCode>
                <c:ptCount val="12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'3 Linien'!$L$129</c:f>
              <c:strCache>
                <c:ptCount val="1"/>
                <c:pt idx="0">
                  <c:v>Punkt unten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strRef>
                  <c:f>'3 Linien'!$AA$131</c:f>
                  <c:strCache>
                    <c:ptCount val="1"/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'3 Linien'!$AD$131</c:f>
                  <c:strCache>
                    <c:ptCount val="1"/>
                    <c:pt idx="0">
                      <c:v>65</c:v>
                    </c:pt>
                  </c:strCache>
                </c:strRef>
              </c:tx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'3 Linien'!$AA$129:$AB$129</c:f>
              <c:numCache>
                <c:formatCode>#,##0.0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'3 Linien'!$AA$130:$AB$130</c:f>
              <c:numCache>
                <c:formatCode>General</c:formatCode>
                <c:ptCount val="2"/>
                <c:pt idx="0" formatCode="#,##0">
                  <c:v>200</c:v>
                </c:pt>
                <c:pt idx="1">
                  <c:v>10</c:v>
                </c:pt>
              </c:numCache>
            </c:numRef>
          </c:yVal>
          <c:smooth val="0"/>
        </c:ser>
        <c:ser>
          <c:idx val="8"/>
          <c:order val="6"/>
          <c:tx>
            <c:strRef>
              <c:f>'3 Linien'!$L$133</c:f>
              <c:strCache>
                <c:ptCount val="1"/>
                <c:pt idx="0">
                  <c:v>Punkt Mitte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strRef>
                  <c:f>'3 Linien'!$AA$135</c:f>
                  <c:strCache>
                    <c:ptCount val="1"/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'3 Linien'!$AD$135</c:f>
                  <c:strCache>
                    <c:ptCount val="1"/>
                    <c:pt idx="0">
                      <c:v>73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'3 Linien'!$AA$133:$AB$133</c:f>
              <c:numCache>
                <c:formatCode>#,##0.0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'3 Linien'!$AA$134:$AB$134</c:f>
              <c:numCache>
                <c:formatCode>General</c:formatCode>
                <c:ptCount val="2"/>
                <c:pt idx="0" formatCode="#,##0">
                  <c:v>200</c:v>
                </c:pt>
                <c:pt idx="1">
                  <c:v>50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'3 Linien'!$L$136</c:f>
              <c:strCache>
                <c:ptCount val="1"/>
                <c:pt idx="0">
                  <c:v>Punkt oben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tx>
                <c:strRef>
                  <c:f>'3 Linien'!$AA$138</c:f>
                  <c:strCache>
                    <c:ptCount val="1"/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strRef>
                  <c:f>'3 Linien'!$AD$138</c:f>
                  <c:strCache>
                    <c:ptCount val="1"/>
                    <c:pt idx="0">
                      <c:v>80</c:v>
                    </c:pt>
                  </c:strCache>
                </c:strRef>
              </c:tx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de-DE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Ref>
              <c:f>'3 Linien'!$AA$136:$AB$136</c:f>
              <c:numCache>
                <c:formatCode>#,##0.0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xVal>
          <c:yVal>
            <c:numRef>
              <c:f>'3 Linien'!$AA$137:$AB$137</c:f>
              <c:numCache>
                <c:formatCode>General</c:formatCode>
                <c:ptCount val="2"/>
                <c:pt idx="0" formatCode="#,##0">
                  <c:v>200</c:v>
                </c:pt>
                <c:pt idx="1">
                  <c:v>90</c:v>
                </c:pt>
              </c:numCache>
            </c:numRef>
          </c:yVal>
          <c:smooth val="0"/>
        </c:ser>
        <c:ser>
          <c:idx val="5"/>
          <c:order val="8"/>
          <c:tx>
            <c:strRef>
              <c:f>'3 Linien'!$L$120</c:f>
              <c:strCache>
                <c:ptCount val="1"/>
                <c:pt idx="0">
                  <c:v>horizontale Achse unten</c:v>
                </c:pt>
              </c:strCache>
            </c:strRef>
          </c:tx>
          <c:spPr>
            <a:ln w="127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'3 Linien'!$AA$120:$AB$120</c:f>
              <c:numCache>
                <c:formatCode>General</c:formatCode>
                <c:ptCount val="2"/>
                <c:pt idx="0" formatCode="#,##0.0">
                  <c:v>0.6</c:v>
                </c:pt>
                <c:pt idx="1">
                  <c:v>12.5</c:v>
                </c:pt>
              </c:numCache>
            </c:numRef>
          </c:xVal>
          <c:yVal>
            <c:numRef>
              <c:f>'3 Linien'!$AA$121:$AB$121</c:f>
              <c:numCache>
                <c:formatCode>#,##0</c:formatCode>
                <c:ptCount val="2"/>
                <c:pt idx="0">
                  <c:v>10</c:v>
                </c:pt>
                <c:pt idx="1">
                  <c:v>10</c:v>
                </c:pt>
              </c:numCache>
            </c:numRef>
          </c:yVal>
          <c:smooth val="0"/>
        </c:ser>
        <c:ser>
          <c:idx val="9"/>
          <c:order val="9"/>
          <c:tx>
            <c:strRef>
              <c:f>'3 Linien'!$L$122</c:f>
              <c:strCache>
                <c:ptCount val="1"/>
                <c:pt idx="0">
                  <c:v>horizontale Achse Mitte</c:v>
                </c:pt>
              </c:strCache>
            </c:strRef>
          </c:tx>
          <c:spPr>
            <a:ln w="127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'3 Linien'!$AA$122:$AB$122</c:f>
              <c:numCache>
                <c:formatCode>General</c:formatCode>
                <c:ptCount val="2"/>
                <c:pt idx="0" formatCode="#,##0.0">
                  <c:v>0.6</c:v>
                </c:pt>
                <c:pt idx="1">
                  <c:v>12.5</c:v>
                </c:pt>
              </c:numCache>
            </c:numRef>
          </c:xVal>
          <c:yVal>
            <c:numRef>
              <c:f>'3 Linien'!$AA$123:$AB$123</c:f>
              <c:numCache>
                <c:formatCode>#,##0</c:formatCode>
                <c:ptCount val="2"/>
                <c:pt idx="0">
                  <c:v>50</c:v>
                </c:pt>
                <c:pt idx="1">
                  <c:v>50</c:v>
                </c:pt>
              </c:numCache>
            </c:numRef>
          </c:yVal>
          <c:smooth val="0"/>
        </c:ser>
        <c:ser>
          <c:idx val="10"/>
          <c:order val="10"/>
          <c:tx>
            <c:strRef>
              <c:f>'3 Linien'!$L$124</c:f>
              <c:strCache>
                <c:ptCount val="1"/>
                <c:pt idx="0">
                  <c:v>horizontale Achse oben</c:v>
                </c:pt>
              </c:strCache>
            </c:strRef>
          </c:tx>
          <c:spPr>
            <a:ln w="127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xVal>
            <c:numRef>
              <c:f>'3 Linien'!$AA$124:$AB$124</c:f>
              <c:numCache>
                <c:formatCode>General</c:formatCode>
                <c:ptCount val="2"/>
                <c:pt idx="0" formatCode="#,##0.0">
                  <c:v>0.6</c:v>
                </c:pt>
                <c:pt idx="1">
                  <c:v>12.5</c:v>
                </c:pt>
              </c:numCache>
            </c:numRef>
          </c:xVal>
          <c:yVal>
            <c:numRef>
              <c:f>'3 Linien'!$AA$125:$AB$125</c:f>
              <c:numCache>
                <c:formatCode>#,##0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873024"/>
        <c:axId val="127874560"/>
      </c:scatterChart>
      <c:catAx>
        <c:axId val="12787302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crossAx val="127874560"/>
        <c:crosses val="autoZero"/>
        <c:auto val="0"/>
        <c:lblAlgn val="ctr"/>
        <c:lblOffset val="100"/>
        <c:noMultiLvlLbl val="1"/>
      </c:catAx>
      <c:valAx>
        <c:axId val="127874560"/>
        <c:scaling>
          <c:orientation val="minMax"/>
          <c:max val="100"/>
        </c:scaling>
        <c:delete val="1"/>
        <c:axPos val="l"/>
        <c:numFmt formatCode="#,##0" sourceLinked="1"/>
        <c:majorTickMark val="out"/>
        <c:minorTickMark val="none"/>
        <c:tickLblPos val="nextTo"/>
        <c:crossAx val="127873024"/>
        <c:crosses val="autoZero"/>
        <c:crossBetween val="between"/>
      </c:valAx>
    </c:plotArea>
    <c:legend>
      <c:legendPos val="b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ayout/>
      <c:overlay val="0"/>
    </c:legend>
    <c:plotVisOnly val="0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trlProps/ctrlProp1.xml><?xml version="1.0" encoding="utf-8"?>
<formControlPr xmlns="http://schemas.microsoft.com/office/spreadsheetml/2009/9/main" objectType="Scroll" dx="16" fmlaLink="$AF$81" horiz="1" max="400" min="140" page="10" val="17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36366</xdr:colOff>
      <xdr:row>2</xdr:row>
      <xdr:rowOff>0</xdr:rowOff>
    </xdr:from>
    <xdr:to>
      <xdr:col>8</xdr:col>
      <xdr:colOff>38099</xdr:colOff>
      <xdr:row>29</xdr:row>
      <xdr:rowOff>0</xdr:rowOff>
    </xdr:to>
    <xdr:grpSp>
      <xdr:nvGrpSpPr>
        <xdr:cNvPr id="4" name="Gruppieren 3"/>
        <xdr:cNvGrpSpPr/>
      </xdr:nvGrpSpPr>
      <xdr:grpSpPr>
        <a:xfrm>
          <a:off x="226866" y="238125"/>
          <a:ext cx="7878908" cy="4838700"/>
          <a:chOff x="198291" y="409323"/>
          <a:chExt cx="9255951" cy="4938283"/>
        </a:xfrm>
      </xdr:grpSpPr>
      <xdr:graphicFrame macro="">
        <xdr:nvGraphicFramePr>
          <xdr:cNvPr id="2" name="CHRT1"/>
          <xdr:cNvGraphicFramePr/>
        </xdr:nvGraphicFramePr>
        <xdr:xfrm>
          <a:off x="198291" y="409323"/>
          <a:ext cx="9255951" cy="49382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AD$116">
        <xdr:nvSpPr>
          <xdr:cNvPr id="3" name="Text Format"/>
          <xdr:cNvSpPr txBox="1"/>
        </xdr:nvSpPr>
        <xdr:spPr>
          <a:xfrm>
            <a:off x="394607" y="4944195"/>
            <a:ext cx="874059" cy="26970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fld id="{88924C88-6810-48CC-9626-BED1EF093EE2}" type="TxLink">
              <a:rPr lang="de-CH" sz="1100"/>
              <a:pPr/>
              <a:t>in TCHF</a:t>
            </a:fld>
            <a:endParaRPr lang="de-CH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17</xdr:row>
          <xdr:rowOff>19050</xdr:rowOff>
        </xdr:from>
        <xdr:to>
          <xdr:col>18</xdr:col>
          <xdr:colOff>704850</xdr:colOff>
          <xdr:row>18</xdr:row>
          <xdr:rowOff>142875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hyperlink" Target="http://www.heroldgmbh.ch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info@heroldgmbh.ch" TargetMode="External"/><Relationship Id="rId1" Type="http://schemas.openxmlformats.org/officeDocument/2006/relationships/hyperlink" Target="mailto:info@heroldgmbh.ch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heroldgmbh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L138"/>
  <sheetViews>
    <sheetView tabSelected="1" zoomScaleNormal="100" workbookViewId="0">
      <pane xSplit="10" ySplit="31" topLeftCell="K32" activePane="bottomRight" state="frozen"/>
      <selection pane="topRight" activeCell="H1" sqref="H1"/>
      <selection pane="bottomLeft" activeCell="A30" sqref="A30"/>
      <selection pane="bottomRight" activeCell="Q36" sqref="Q36"/>
    </sheetView>
  </sheetViews>
  <sheetFormatPr baseColWidth="10" defaultRowHeight="15" x14ac:dyDescent="0.25"/>
  <cols>
    <col min="1" max="1" width="2.85546875" customWidth="1"/>
    <col min="2" max="3" width="0.5703125" customWidth="1"/>
    <col min="4" max="5" width="27.7109375" customWidth="1"/>
    <col min="6" max="6" width="9.28515625" customWidth="1"/>
    <col min="7" max="7" width="43.5703125" customWidth="1"/>
    <col min="8" max="8" width="8.7109375" customWidth="1"/>
    <col min="9" max="10" width="0.5703125" customWidth="1"/>
    <col min="11" max="11" width="2.85546875" customWidth="1"/>
    <col min="12" max="12" width="31.28515625" customWidth="1"/>
    <col min="13" max="13" width="9.5703125" customWidth="1"/>
    <col min="14" max="14" width="12.5703125" customWidth="1"/>
    <col min="15" max="25" width="11.42578125" customWidth="1"/>
  </cols>
  <sheetData>
    <row r="1" spans="1:26" ht="15.75" x14ac:dyDescent="0.25">
      <c r="A1" s="27"/>
      <c r="B1" s="27"/>
      <c r="D1" s="23" t="s">
        <v>0</v>
      </c>
      <c r="E1" s="23" t="s">
        <v>1</v>
      </c>
      <c r="G1" s="24" t="s">
        <v>83</v>
      </c>
      <c r="J1" s="27"/>
      <c r="K1" s="27"/>
    </row>
    <row r="2" spans="1:26" ht="3" customHeight="1" x14ac:dyDescent="0.25">
      <c r="A2" s="27"/>
      <c r="B2" s="27"/>
      <c r="J2" s="27"/>
      <c r="K2" s="27"/>
    </row>
    <row r="3" spans="1:26" ht="3" customHeight="1" x14ac:dyDescent="0.25"/>
    <row r="4" spans="1:26" ht="15" customHeight="1" x14ac:dyDescent="0.25">
      <c r="N4" s="29">
        <f>N5</f>
        <v>41275</v>
      </c>
      <c r="O4" s="29">
        <f t="shared" ref="O4:Y4" si="0">O5</f>
        <v>41306</v>
      </c>
      <c r="P4" s="29">
        <f t="shared" si="0"/>
        <v>41334</v>
      </c>
      <c r="Q4" s="29">
        <f t="shared" si="0"/>
        <v>41365</v>
      </c>
      <c r="R4" s="29">
        <f t="shared" si="0"/>
        <v>41395</v>
      </c>
      <c r="S4" s="29">
        <f t="shared" si="0"/>
        <v>41426</v>
      </c>
      <c r="T4" s="29">
        <f t="shared" si="0"/>
        <v>41456</v>
      </c>
      <c r="U4" s="29">
        <f t="shared" si="0"/>
        <v>41487</v>
      </c>
      <c r="V4" s="29">
        <f t="shared" si="0"/>
        <v>41518</v>
      </c>
      <c r="W4" s="29">
        <f t="shared" si="0"/>
        <v>41548</v>
      </c>
      <c r="X4" s="29">
        <f t="shared" si="0"/>
        <v>41579</v>
      </c>
      <c r="Y4" s="29">
        <f t="shared" si="0"/>
        <v>41609</v>
      </c>
    </row>
    <row r="5" spans="1:26" x14ac:dyDescent="0.25">
      <c r="N5" s="8">
        <f>DATE($N$11,1,1)</f>
        <v>41275</v>
      </c>
      <c r="O5" s="3">
        <f>DATE(YEAR($N$5),MONTH(N5)+1,1)</f>
        <v>41306</v>
      </c>
      <c r="P5" s="3">
        <f t="shared" ref="P5:Y5" si="1">DATE(YEAR($N$5),MONTH(O5)+1,1)</f>
        <v>41334</v>
      </c>
      <c r="Q5" s="3">
        <f t="shared" si="1"/>
        <v>41365</v>
      </c>
      <c r="R5" s="3">
        <f t="shared" si="1"/>
        <v>41395</v>
      </c>
      <c r="S5" s="3">
        <f t="shared" si="1"/>
        <v>41426</v>
      </c>
      <c r="T5" s="3">
        <f t="shared" si="1"/>
        <v>41456</v>
      </c>
      <c r="U5" s="3">
        <f t="shared" si="1"/>
        <v>41487</v>
      </c>
      <c r="V5" s="3">
        <f t="shared" si="1"/>
        <v>41518</v>
      </c>
      <c r="W5" s="3">
        <f t="shared" si="1"/>
        <v>41548</v>
      </c>
      <c r="X5" s="3">
        <f t="shared" si="1"/>
        <v>41579</v>
      </c>
      <c r="Y5" s="3">
        <f t="shared" si="1"/>
        <v>41609</v>
      </c>
      <c r="Z5" s="1"/>
    </row>
    <row r="6" spans="1:26" x14ac:dyDescent="0.25">
      <c r="L6" s="26" t="s">
        <v>73</v>
      </c>
      <c r="M6" s="28"/>
      <c r="N6" s="9">
        <v>67000</v>
      </c>
      <c r="O6" s="9">
        <v>68000</v>
      </c>
      <c r="P6" s="9">
        <v>69000</v>
      </c>
      <c r="Q6" s="9">
        <v>70000</v>
      </c>
      <c r="R6" s="9">
        <v>71000</v>
      </c>
      <c r="S6" s="9">
        <v>72000</v>
      </c>
      <c r="T6" s="9">
        <v>73000</v>
      </c>
      <c r="U6" s="9">
        <v>74000</v>
      </c>
      <c r="V6" s="9">
        <v>75000</v>
      </c>
      <c r="W6" s="9">
        <v>76000</v>
      </c>
      <c r="X6" s="9">
        <v>77000</v>
      </c>
      <c r="Y6" s="9">
        <v>78000</v>
      </c>
    </row>
    <row r="7" spans="1:26" x14ac:dyDescent="0.25">
      <c r="L7" s="26" t="s">
        <v>74</v>
      </c>
      <c r="M7" s="28"/>
      <c r="N7" s="9">
        <v>68000</v>
      </c>
      <c r="O7" s="9">
        <v>69000</v>
      </c>
      <c r="P7" s="9">
        <v>70000</v>
      </c>
      <c r="Q7" s="9">
        <v>71000</v>
      </c>
      <c r="R7" s="9">
        <v>72000</v>
      </c>
      <c r="S7" s="9">
        <v>73000</v>
      </c>
      <c r="T7" s="9">
        <v>74000</v>
      </c>
      <c r="U7" s="9">
        <v>75000</v>
      </c>
      <c r="V7" s="9">
        <v>76000</v>
      </c>
      <c r="W7" s="9">
        <v>77000</v>
      </c>
      <c r="X7" s="9">
        <v>78000</v>
      </c>
      <c r="Y7" s="9">
        <v>79000</v>
      </c>
    </row>
    <row r="8" spans="1:26" x14ac:dyDescent="0.25">
      <c r="L8" s="26" t="s">
        <v>75</v>
      </c>
      <c r="M8" s="28"/>
      <c r="N8" s="9">
        <v>69000</v>
      </c>
      <c r="O8" s="9">
        <v>70000</v>
      </c>
      <c r="P8" s="9">
        <v>71000</v>
      </c>
      <c r="Q8" s="9">
        <v>72000</v>
      </c>
      <c r="R8" s="9">
        <v>73000</v>
      </c>
      <c r="S8" s="9">
        <v>74000</v>
      </c>
      <c r="T8" s="9">
        <v>75000</v>
      </c>
      <c r="U8" s="9">
        <v>76000</v>
      </c>
      <c r="V8" s="9">
        <v>77000</v>
      </c>
      <c r="W8" s="9">
        <v>78000</v>
      </c>
      <c r="X8" s="9">
        <v>79000</v>
      </c>
      <c r="Y8" s="9">
        <v>80000</v>
      </c>
    </row>
    <row r="10" spans="1:26" x14ac:dyDescent="0.25">
      <c r="L10" s="26" t="s">
        <v>3</v>
      </c>
      <c r="M10" s="28"/>
      <c r="N10" s="30" t="s">
        <v>89</v>
      </c>
      <c r="O10" s="31"/>
      <c r="P10" s="31"/>
      <c r="Q10" s="31"/>
      <c r="R10" s="31"/>
      <c r="S10" s="31"/>
      <c r="T10" s="31"/>
      <c r="U10" s="32"/>
    </row>
    <row r="11" spans="1:26" x14ac:dyDescent="0.25">
      <c r="L11" s="26" t="s">
        <v>4</v>
      </c>
      <c r="M11" s="28"/>
      <c r="N11" s="10">
        <v>2013</v>
      </c>
    </row>
    <row r="12" spans="1:26" x14ac:dyDescent="0.25">
      <c r="L12" s="26" t="s">
        <v>19</v>
      </c>
      <c r="M12" s="28"/>
      <c r="N12" s="11">
        <v>41548</v>
      </c>
    </row>
    <row r="13" spans="1:26" x14ac:dyDescent="0.25">
      <c r="L13" s="26" t="s">
        <v>32</v>
      </c>
      <c r="M13" s="28"/>
      <c r="N13" s="30" t="s">
        <v>90</v>
      </c>
      <c r="O13" s="31"/>
      <c r="P13" s="31"/>
      <c r="Q13" s="31"/>
      <c r="R13" s="31"/>
      <c r="S13" s="31"/>
      <c r="T13" s="31"/>
      <c r="U13" s="32"/>
    </row>
    <row r="14" spans="1:26" x14ac:dyDescent="0.25">
      <c r="L14" s="26" t="s">
        <v>33</v>
      </c>
      <c r="M14" s="28"/>
      <c r="N14" s="30" t="s">
        <v>91</v>
      </c>
      <c r="O14" s="31"/>
      <c r="P14" s="31"/>
      <c r="Q14" s="31"/>
      <c r="R14" s="31"/>
      <c r="S14" s="31"/>
      <c r="T14" s="31"/>
      <c r="U14" s="32"/>
    </row>
    <row r="15" spans="1:26" x14ac:dyDescent="0.25">
      <c r="L15" s="26" t="s">
        <v>93</v>
      </c>
      <c r="M15" s="28"/>
      <c r="N15" s="30" t="s">
        <v>92</v>
      </c>
      <c r="O15" s="31"/>
      <c r="P15" s="31"/>
      <c r="Q15" s="31"/>
      <c r="R15" s="31"/>
      <c r="S15" s="31"/>
      <c r="T15" s="31"/>
      <c r="U15" s="32"/>
    </row>
    <row r="17" spans="1:19" x14ac:dyDescent="0.25">
      <c r="L17" s="26" t="s">
        <v>49</v>
      </c>
      <c r="M17" s="28"/>
      <c r="N17" s="11" t="s">
        <v>18</v>
      </c>
      <c r="Q17" s="26" t="s">
        <v>88</v>
      </c>
      <c r="R17" s="26"/>
      <c r="S17" s="26"/>
    </row>
    <row r="18" spans="1:19" x14ac:dyDescent="0.25">
      <c r="L18" s="26" t="s">
        <v>50</v>
      </c>
      <c r="M18" s="28"/>
      <c r="N18" s="11" t="s">
        <v>18</v>
      </c>
    </row>
    <row r="20" spans="1:19" x14ac:dyDescent="0.25">
      <c r="L20" s="26" t="s">
        <v>65</v>
      </c>
      <c r="M20" s="28"/>
      <c r="N20" s="11" t="s">
        <v>87</v>
      </c>
    </row>
    <row r="21" spans="1:19" x14ac:dyDescent="0.25">
      <c r="L21" s="26" t="s">
        <v>94</v>
      </c>
      <c r="M21" s="28"/>
      <c r="N21" s="11" t="s">
        <v>95</v>
      </c>
    </row>
    <row r="23" spans="1:19" x14ac:dyDescent="0.25">
      <c r="L23" s="26" t="s">
        <v>28</v>
      </c>
      <c r="M23" s="28"/>
      <c r="N23" s="11" t="s">
        <v>18</v>
      </c>
    </row>
    <row r="25" spans="1:19" x14ac:dyDescent="0.25">
      <c r="L25" s="26" t="s">
        <v>27</v>
      </c>
      <c r="M25" s="28"/>
      <c r="N25" s="12" t="s">
        <v>55</v>
      </c>
    </row>
    <row r="26" spans="1:19" x14ac:dyDescent="0.25">
      <c r="L26" s="26" t="s">
        <v>8</v>
      </c>
      <c r="M26" s="28"/>
      <c r="N26" s="10">
        <v>0</v>
      </c>
    </row>
    <row r="29" spans="1:19" ht="3" customHeight="1" x14ac:dyDescent="0.25"/>
    <row r="30" spans="1:19" ht="3" customHeight="1" x14ac:dyDescent="0.25">
      <c r="A30" s="27"/>
      <c r="B30" s="27"/>
      <c r="J30" s="27"/>
      <c r="K30" s="27"/>
    </row>
    <row r="31" spans="1:19" x14ac:dyDescent="0.25">
      <c r="A31" s="27"/>
      <c r="B31" s="27"/>
      <c r="J31" s="27"/>
      <c r="K31" s="27"/>
    </row>
    <row r="32" spans="1:19" ht="15.75" x14ac:dyDescent="0.25">
      <c r="D32" s="23" t="s">
        <v>0</v>
      </c>
      <c r="E32" s="23" t="s">
        <v>1</v>
      </c>
      <c r="G32" s="24" t="s">
        <v>83</v>
      </c>
    </row>
    <row r="33" spans="3:14" x14ac:dyDescent="0.25">
      <c r="D33" s="25" t="s">
        <v>2</v>
      </c>
      <c r="E33" s="25"/>
    </row>
    <row r="34" spans="3:14" x14ac:dyDescent="0.25">
      <c r="L34" s="26" t="s">
        <v>14</v>
      </c>
      <c r="M34" s="28"/>
      <c r="N34" s="13" t="s">
        <v>10</v>
      </c>
    </row>
    <row r="35" spans="3:14" ht="15.75" thickBot="1" x14ac:dyDescent="0.3">
      <c r="C35" s="26" t="s">
        <v>76</v>
      </c>
      <c r="D35" s="26"/>
      <c r="E35" s="26"/>
      <c r="F35" s="26"/>
      <c r="G35" s="26"/>
      <c r="H35" s="26"/>
      <c r="I35" s="26"/>
      <c r="L35" s="26" t="s">
        <v>25</v>
      </c>
      <c r="M35" s="28"/>
      <c r="N35" s="13" t="s">
        <v>11</v>
      </c>
    </row>
    <row r="36" spans="3:14" x14ac:dyDescent="0.25">
      <c r="C36" s="33" t="s">
        <v>77</v>
      </c>
      <c r="D36" s="34"/>
      <c r="E36" s="34"/>
      <c r="F36" s="34"/>
      <c r="G36" s="34"/>
      <c r="H36" s="34"/>
      <c r="I36" s="35"/>
      <c r="L36" s="26"/>
      <c r="M36" s="28"/>
      <c r="N36" s="13" t="s">
        <v>12</v>
      </c>
    </row>
    <row r="37" spans="3:14" x14ac:dyDescent="0.25">
      <c r="C37" s="36" t="s">
        <v>78</v>
      </c>
      <c r="D37" s="37"/>
      <c r="E37" s="37"/>
      <c r="F37" s="37"/>
      <c r="G37" s="37"/>
      <c r="H37" s="37"/>
      <c r="I37" s="38"/>
      <c r="L37" s="26"/>
      <c r="M37" s="28"/>
      <c r="N37" s="13" t="s">
        <v>13</v>
      </c>
    </row>
    <row r="38" spans="3:14" x14ac:dyDescent="0.25">
      <c r="C38" s="36" t="s">
        <v>96</v>
      </c>
      <c r="D38" s="37"/>
      <c r="E38" s="37"/>
      <c r="F38" s="37"/>
      <c r="G38" s="37"/>
      <c r="H38" s="37"/>
      <c r="I38" s="38"/>
    </row>
    <row r="39" spans="3:14" x14ac:dyDescent="0.25">
      <c r="C39" s="36"/>
      <c r="D39" s="37"/>
      <c r="E39" s="37"/>
      <c r="F39" s="37"/>
      <c r="G39" s="37"/>
      <c r="H39" s="37"/>
      <c r="I39" s="38"/>
    </row>
    <row r="40" spans="3:14" x14ac:dyDescent="0.25">
      <c r="C40" s="36" t="s">
        <v>79</v>
      </c>
      <c r="D40" s="37"/>
      <c r="E40" s="37"/>
      <c r="F40" s="37"/>
      <c r="G40" s="37"/>
      <c r="H40" s="37"/>
      <c r="I40" s="38"/>
    </row>
    <row r="41" spans="3:14" x14ac:dyDescent="0.25">
      <c r="C41" s="36" t="s">
        <v>97</v>
      </c>
      <c r="D41" s="37"/>
      <c r="E41" s="37"/>
      <c r="F41" s="37"/>
      <c r="G41" s="37"/>
      <c r="H41" s="37"/>
      <c r="I41" s="38"/>
    </row>
    <row r="42" spans="3:14" x14ac:dyDescent="0.25">
      <c r="C42" s="36" t="s">
        <v>82</v>
      </c>
      <c r="D42" s="37"/>
      <c r="E42" s="37"/>
      <c r="F42" s="37"/>
      <c r="G42" s="37"/>
      <c r="H42" s="37"/>
      <c r="I42" s="38"/>
    </row>
    <row r="43" spans="3:14" x14ac:dyDescent="0.25">
      <c r="C43" s="36" t="s">
        <v>81</v>
      </c>
      <c r="D43" s="37"/>
      <c r="E43" s="37"/>
      <c r="F43" s="37"/>
      <c r="G43" s="37"/>
      <c r="H43" s="37"/>
      <c r="I43" s="38"/>
    </row>
    <row r="44" spans="3:14" x14ac:dyDescent="0.25">
      <c r="C44" s="36" t="s">
        <v>80</v>
      </c>
      <c r="D44" s="37"/>
      <c r="E44" s="37"/>
      <c r="F44" s="37"/>
      <c r="G44" s="37"/>
      <c r="H44" s="37"/>
      <c r="I44" s="38"/>
    </row>
    <row r="45" spans="3:14" x14ac:dyDescent="0.25">
      <c r="C45" s="36"/>
      <c r="D45" s="37"/>
      <c r="E45" s="37"/>
      <c r="F45" s="37"/>
      <c r="G45" s="37"/>
      <c r="H45" s="37"/>
      <c r="I45" s="38"/>
    </row>
    <row r="46" spans="3:14" ht="15.75" thickBot="1" x14ac:dyDescent="0.3">
      <c r="C46" s="39" t="s">
        <v>26</v>
      </c>
      <c r="D46" s="40"/>
      <c r="E46" s="40"/>
      <c r="F46" s="40"/>
      <c r="G46" s="40"/>
      <c r="H46" s="40"/>
      <c r="I46" s="41"/>
    </row>
    <row r="48" spans="3:14" ht="15.75" thickBot="1" x14ac:dyDescent="0.3">
      <c r="C48" s="26" t="s">
        <v>84</v>
      </c>
      <c r="D48" s="26"/>
      <c r="E48" s="26"/>
      <c r="F48" s="26"/>
      <c r="G48" s="26"/>
      <c r="H48" s="26"/>
      <c r="I48" s="26"/>
    </row>
    <row r="49" spans="3:38" x14ac:dyDescent="0.25">
      <c r="C49" s="33" t="s">
        <v>85</v>
      </c>
      <c r="D49" s="34"/>
      <c r="E49" s="34"/>
      <c r="F49" s="34"/>
      <c r="G49" s="34"/>
      <c r="H49" s="34"/>
      <c r="I49" s="35"/>
    </row>
    <row r="50" spans="3:38" ht="48.75" customHeight="1" x14ac:dyDescent="0.25">
      <c r="C50" s="36" t="s">
        <v>86</v>
      </c>
      <c r="D50" s="37"/>
      <c r="E50" s="37"/>
      <c r="F50" s="37"/>
      <c r="G50" s="37"/>
      <c r="H50" s="37"/>
      <c r="I50" s="38"/>
    </row>
    <row r="51" spans="3:38" ht="15.75" thickBot="1" x14ac:dyDescent="0.3">
      <c r="C51" s="39"/>
      <c r="D51" s="40"/>
      <c r="E51" s="40"/>
      <c r="F51" s="40"/>
      <c r="G51" s="40"/>
      <c r="H51" s="40"/>
      <c r="I51" s="41"/>
    </row>
    <row r="54" spans="3:38" hidden="1" x14ac:dyDescent="0.25"/>
    <row r="55" spans="3:38" hidden="1" x14ac:dyDescent="0.25">
      <c r="L55" t="s">
        <v>49</v>
      </c>
      <c r="N55" s="2" t="b">
        <f>$N17="Ja"</f>
        <v>1</v>
      </c>
    </row>
    <row r="56" spans="3:38" hidden="1" x14ac:dyDescent="0.25">
      <c r="L56" t="s">
        <v>50</v>
      </c>
      <c r="N56" s="2" t="b">
        <f>$N18="Ja"</f>
        <v>1</v>
      </c>
    </row>
    <row r="57" spans="3:38" hidden="1" x14ac:dyDescent="0.25"/>
    <row r="58" spans="3:38" hidden="1" x14ac:dyDescent="0.25">
      <c r="L58" t="s">
        <v>65</v>
      </c>
      <c r="N58" s="2" t="b">
        <f>$N20="einblenden"</f>
        <v>1</v>
      </c>
    </row>
    <row r="59" spans="3:38" hidden="1" x14ac:dyDescent="0.25">
      <c r="L59" t="s">
        <v>94</v>
      </c>
      <c r="N59" s="2" t="b">
        <f>$N21="einblenden"</f>
        <v>0</v>
      </c>
    </row>
    <row r="60" spans="3:38" hidden="1" x14ac:dyDescent="0.25">
      <c r="L60" t="s">
        <v>28</v>
      </c>
      <c r="N60" s="2" t="b">
        <f>$N23="Ja"</f>
        <v>1</v>
      </c>
    </row>
    <row r="61" spans="3:38" hidden="1" x14ac:dyDescent="0.25"/>
    <row r="62" spans="3:38" ht="60" hidden="1" x14ac:dyDescent="0.25">
      <c r="AA62" s="22" t="s">
        <v>22</v>
      </c>
      <c r="AB62" s="22" t="s">
        <v>23</v>
      </c>
      <c r="AC62" s="22" t="s">
        <v>24</v>
      </c>
    </row>
    <row r="63" spans="3:38" hidden="1" x14ac:dyDescent="0.25">
      <c r="L63" t="s">
        <v>66</v>
      </c>
      <c r="AA63" s="2" t="b">
        <f ca="1">AND(MIN(OFFSET($N6,0,0,1,MONTH($N$12)))&lt;0,MAX(OFFSET($N6,0,0,1,MONTH($N$12)))&lt;=0)</f>
        <v>0</v>
      </c>
      <c r="AB63" s="2" t="b">
        <f ca="1">AND(MAX(OFFSET($N6,0,0,1,MONTH($N$12)))&gt;0,MIN(OFFSET($N6,0,0,1,MONTH($N$12)))&gt;=0)</f>
        <v>1</v>
      </c>
      <c r="AC63" s="2" t="b">
        <f ca="1">AND(NOT($AA63),NOT($AB63))</f>
        <v>0</v>
      </c>
      <c r="AG63" t="s">
        <v>72</v>
      </c>
      <c r="AK63" s="2" t="b">
        <f ca="1">IF(AND($N$55,$N$56),AND($AA$63,$AA$64,$AA$65,NOT($N$60)),IF(AND($N$55,NOT($N$56)),AND($AA$63,$AA$64,NOT($N$60)),IF(AND(NOT($N$55),NOT($N$56)),AND($AA$63,NOT($N$60)),)))</f>
        <v>0</v>
      </c>
      <c r="AL63" s="2">
        <f ca="1">IF($AK$63,-1,1)</f>
        <v>1</v>
      </c>
    </row>
    <row r="64" spans="3:38" hidden="1" x14ac:dyDescent="0.25">
      <c r="L64" t="s">
        <v>67</v>
      </c>
      <c r="AA64" s="2" t="b">
        <f ca="1">AND(MIN(OFFSET($N7,0,0,1,MONTH($N$12)))&lt;0,MAX(OFFSET($N7,0,0,1,MONTH($N$12)))&lt;=0)</f>
        <v>0</v>
      </c>
      <c r="AB64" s="2" t="b">
        <f ca="1">AND(MAX(OFFSET($N7,0,0,1,MONTH($N$12)))&gt;0,MIN(OFFSET($N7,0,0,1,MONTH($N$12)))&gt;=0)</f>
        <v>1</v>
      </c>
      <c r="AC64" s="2" t="b">
        <f ca="1">AND(NOT($AA64),NOT($AB64))</f>
        <v>0</v>
      </c>
    </row>
    <row r="65" spans="12:33" hidden="1" x14ac:dyDescent="0.25">
      <c r="L65" t="s">
        <v>68</v>
      </c>
      <c r="AA65" s="2" t="b">
        <f ca="1">AND(MIN(OFFSET($N8,0,0,1,MONTH($N$12)))&lt;0,MAX(OFFSET($N8,0,0,1,MONTH($N$12)))&lt;=0)</f>
        <v>0</v>
      </c>
      <c r="AB65" s="2" t="b">
        <f ca="1">AND(MAX(OFFSET($N8,0,0,1,MONTH($N$12)))&gt;0,MIN(OFFSET($N8,0,0,1,MONTH($N$12)))&gt;=0)</f>
        <v>1</v>
      </c>
      <c r="AC65" s="2" t="b">
        <f ca="1">AND(NOT($AA65),NOT($AB65))</f>
        <v>0</v>
      </c>
    </row>
    <row r="66" spans="12:33" hidden="1" x14ac:dyDescent="0.25"/>
    <row r="67" spans="12:33" hidden="1" x14ac:dyDescent="0.25">
      <c r="L67" t="s">
        <v>54</v>
      </c>
      <c r="N67" s="19" t="b">
        <f>MONTH(N$5)&lt;=MONTH($N$12)</f>
        <v>1</v>
      </c>
      <c r="O67" s="19" t="b">
        <f t="shared" ref="O67:Y67" si="2">MONTH(O$5)&lt;=MONTH($N$12)</f>
        <v>1</v>
      </c>
      <c r="P67" s="19" t="b">
        <f t="shared" si="2"/>
        <v>1</v>
      </c>
      <c r="Q67" s="19" t="b">
        <f t="shared" si="2"/>
        <v>1</v>
      </c>
      <c r="R67" s="19" t="b">
        <f t="shared" si="2"/>
        <v>1</v>
      </c>
      <c r="S67" s="19" t="b">
        <f t="shared" si="2"/>
        <v>1</v>
      </c>
      <c r="T67" s="19" t="b">
        <f t="shared" si="2"/>
        <v>1</v>
      </c>
      <c r="U67" s="19" t="b">
        <f t="shared" si="2"/>
        <v>1</v>
      </c>
      <c r="V67" s="19" t="b">
        <f t="shared" si="2"/>
        <v>1</v>
      </c>
      <c r="W67" s="19" t="b">
        <f t="shared" si="2"/>
        <v>1</v>
      </c>
      <c r="X67" s="19" t="b">
        <f t="shared" si="2"/>
        <v>0</v>
      </c>
      <c r="Y67" s="19" t="b">
        <f t="shared" si="2"/>
        <v>0</v>
      </c>
    </row>
    <row r="68" spans="12:33" hidden="1" x14ac:dyDescent="0.25"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</row>
    <row r="69" spans="12:33" hidden="1" x14ac:dyDescent="0.25"/>
    <row r="70" spans="12:33" hidden="1" x14ac:dyDescent="0.25">
      <c r="AA70" s="2">
        <f ca="1">100/MAX(OFFSET($N$71,0,0,1,MONTH($N$12)))</f>
        <v>1.3157894736842105E-3</v>
      </c>
    </row>
    <row r="71" spans="12:33" hidden="1" x14ac:dyDescent="0.25">
      <c r="L71" t="s">
        <v>69</v>
      </c>
      <c r="N71" s="15">
        <f t="shared" ref="N71:Y71" ca="1" si="3">IF(AND(N$67,$AA63),MIN(N6,-0.00000000001),N6)</f>
        <v>67000</v>
      </c>
      <c r="O71" s="15">
        <f t="shared" ca="1" si="3"/>
        <v>68000</v>
      </c>
      <c r="P71" s="15">
        <f t="shared" ca="1" si="3"/>
        <v>69000</v>
      </c>
      <c r="Q71" s="15">
        <f t="shared" ca="1" si="3"/>
        <v>70000</v>
      </c>
      <c r="R71" s="15">
        <f t="shared" ca="1" si="3"/>
        <v>71000</v>
      </c>
      <c r="S71" s="15">
        <f t="shared" ca="1" si="3"/>
        <v>72000</v>
      </c>
      <c r="T71" s="15">
        <f t="shared" ca="1" si="3"/>
        <v>73000</v>
      </c>
      <c r="U71" s="15">
        <f t="shared" ca="1" si="3"/>
        <v>74000</v>
      </c>
      <c r="V71" s="15">
        <f t="shared" ca="1" si="3"/>
        <v>75000</v>
      </c>
      <c r="W71" s="15">
        <f t="shared" ca="1" si="3"/>
        <v>76000</v>
      </c>
      <c r="X71" s="15">
        <f t="shared" ca="1" si="3"/>
        <v>77000</v>
      </c>
      <c r="Y71" s="15">
        <f t="shared" ca="1" si="3"/>
        <v>78000</v>
      </c>
      <c r="AA71" s="2">
        <f ca="1">100/MAX(OFFSET($N$71,0,0,3,MONTH($N$12)))</f>
        <v>1.2820512820512821E-3</v>
      </c>
      <c r="AB71" t="s">
        <v>34</v>
      </c>
    </row>
    <row r="72" spans="12:33" hidden="1" x14ac:dyDescent="0.25">
      <c r="L72" t="s">
        <v>70</v>
      </c>
      <c r="N72" s="15">
        <f t="shared" ref="N72:Y72" ca="1" si="4">IF($N55,IF($AA64,IF(N$67,MIN(N7,-0.00000000001),""),IF(N$67,N7,"")),"")</f>
        <v>68000</v>
      </c>
      <c r="O72" s="15">
        <f t="shared" ca="1" si="4"/>
        <v>69000</v>
      </c>
      <c r="P72" s="15">
        <f t="shared" ca="1" si="4"/>
        <v>70000</v>
      </c>
      <c r="Q72" s="15">
        <f t="shared" ca="1" si="4"/>
        <v>71000</v>
      </c>
      <c r="R72" s="15">
        <f t="shared" ca="1" si="4"/>
        <v>72000</v>
      </c>
      <c r="S72" s="15">
        <f t="shared" ca="1" si="4"/>
        <v>73000</v>
      </c>
      <c r="T72" s="15">
        <f t="shared" ca="1" si="4"/>
        <v>74000</v>
      </c>
      <c r="U72" s="15">
        <f t="shared" ca="1" si="4"/>
        <v>75000</v>
      </c>
      <c r="V72" s="15">
        <f t="shared" ca="1" si="4"/>
        <v>76000</v>
      </c>
      <c r="W72" s="15">
        <f t="shared" ca="1" si="4"/>
        <v>77000</v>
      </c>
      <c r="X72" s="15" t="str">
        <f t="shared" ca="1" si="4"/>
        <v/>
      </c>
      <c r="Y72" s="15" t="str">
        <f t="shared" ca="1" si="4"/>
        <v/>
      </c>
      <c r="AA72" s="2">
        <f ca="1">100/MAX(OFFSET($N$71,0,0,2,MONTH($N$12)))</f>
        <v>1.2987012987012987E-3</v>
      </c>
    </row>
    <row r="73" spans="12:33" hidden="1" x14ac:dyDescent="0.25">
      <c r="L73" t="s">
        <v>71</v>
      </c>
      <c r="N73" s="15">
        <f t="shared" ref="N73:Y73" ca="1" si="5">IF($N56,IF($AA65,IF(N$67,MIN(N8,-0.00000000001),""),IF(N$67,N8,"")),"")</f>
        <v>69000</v>
      </c>
      <c r="O73" s="15">
        <f t="shared" ca="1" si="5"/>
        <v>70000</v>
      </c>
      <c r="P73" s="15">
        <f t="shared" ca="1" si="5"/>
        <v>71000</v>
      </c>
      <c r="Q73" s="15">
        <f t="shared" ca="1" si="5"/>
        <v>72000</v>
      </c>
      <c r="R73" s="15">
        <f t="shared" ca="1" si="5"/>
        <v>73000</v>
      </c>
      <c r="S73" s="15">
        <f t="shared" ca="1" si="5"/>
        <v>74000</v>
      </c>
      <c r="T73" s="15">
        <f t="shared" ca="1" si="5"/>
        <v>75000</v>
      </c>
      <c r="U73" s="15">
        <f t="shared" ca="1" si="5"/>
        <v>76000</v>
      </c>
      <c r="V73" s="15">
        <f t="shared" ca="1" si="5"/>
        <v>77000</v>
      </c>
      <c r="W73" s="15">
        <f t="shared" ca="1" si="5"/>
        <v>78000</v>
      </c>
      <c r="X73" s="15" t="str">
        <f t="shared" ca="1" si="5"/>
        <v/>
      </c>
      <c r="Y73" s="15" t="str">
        <f t="shared" ca="1" si="5"/>
        <v/>
      </c>
      <c r="AA73" s="2">
        <f ca="1">100/MAX(OFFSET($N$71,0,0,1,MONTH($N$12)),OFFSET($N$73,0,0,1,MONTH($N$12)))</f>
        <v>1.2820512820512821E-3</v>
      </c>
    </row>
    <row r="74" spans="12:33" hidden="1" x14ac:dyDescent="0.25"/>
    <row r="75" spans="12:33" hidden="1" x14ac:dyDescent="0.25">
      <c r="L75" t="s">
        <v>35</v>
      </c>
    </row>
    <row r="76" spans="12:33" hidden="1" x14ac:dyDescent="0.25">
      <c r="L76" t="s">
        <v>30</v>
      </c>
      <c r="N76" s="2">
        <f t="shared" ref="N76:Y76" ca="1" si="6">IF(N$67,N6*$AA$76,"")</f>
        <v>85.897435897435898</v>
      </c>
      <c r="O76" s="2">
        <f t="shared" ca="1" si="6"/>
        <v>87.179487179487182</v>
      </c>
      <c r="P76" s="2">
        <f t="shared" ca="1" si="6"/>
        <v>88.461538461538467</v>
      </c>
      <c r="Q76" s="2">
        <f t="shared" ca="1" si="6"/>
        <v>89.743589743589737</v>
      </c>
      <c r="R76" s="2">
        <f t="shared" ca="1" si="6"/>
        <v>91.025641025641022</v>
      </c>
      <c r="S76" s="2">
        <f t="shared" ca="1" si="6"/>
        <v>92.307692307692307</v>
      </c>
      <c r="T76" s="2">
        <f t="shared" ca="1" si="6"/>
        <v>93.589743589743591</v>
      </c>
      <c r="U76" s="2">
        <f t="shared" ca="1" si="6"/>
        <v>94.871794871794876</v>
      </c>
      <c r="V76" s="2">
        <f t="shared" ca="1" si="6"/>
        <v>96.15384615384616</v>
      </c>
      <c r="W76" s="2">
        <f t="shared" ca="1" si="6"/>
        <v>97.435897435897431</v>
      </c>
      <c r="X76" s="2" t="str">
        <f t="shared" si="6"/>
        <v/>
      </c>
      <c r="Y76" s="2" t="str">
        <f t="shared" si="6"/>
        <v/>
      </c>
      <c r="AA76" s="2">
        <f ca="1">IF(AND($N$55,$N$56),$AA$71,IF(AND(NOT($N$55),NOT($N$56)),$AA$70,IF(AND($N$55,NOT($N$56)),$AA$72,$AA$73)))</f>
        <v>1.2820512820512821E-3</v>
      </c>
      <c r="AB76" t="s">
        <v>34</v>
      </c>
    </row>
    <row r="77" spans="12:33" hidden="1" x14ac:dyDescent="0.25">
      <c r="L77" t="s">
        <v>31</v>
      </c>
      <c r="N77" s="2">
        <f t="shared" ref="N77:Y77" ca="1" si="7">IF(N$67,IF($N$55,N7*$AA$76,""),"")</f>
        <v>87.179487179487182</v>
      </c>
      <c r="O77" s="2">
        <f t="shared" ca="1" si="7"/>
        <v>88.461538461538467</v>
      </c>
      <c r="P77" s="2">
        <f t="shared" ca="1" si="7"/>
        <v>89.743589743589737</v>
      </c>
      <c r="Q77" s="2">
        <f t="shared" ca="1" si="7"/>
        <v>91.025641025641022</v>
      </c>
      <c r="R77" s="2">
        <f t="shared" ca="1" si="7"/>
        <v>92.307692307692307</v>
      </c>
      <c r="S77" s="2">
        <f t="shared" ca="1" si="7"/>
        <v>93.589743589743591</v>
      </c>
      <c r="T77" s="2">
        <f t="shared" ca="1" si="7"/>
        <v>94.871794871794876</v>
      </c>
      <c r="U77" s="2">
        <f t="shared" ca="1" si="7"/>
        <v>96.15384615384616</v>
      </c>
      <c r="V77" s="2">
        <f t="shared" ca="1" si="7"/>
        <v>97.435897435897431</v>
      </c>
      <c r="W77" s="2">
        <f t="shared" ca="1" si="7"/>
        <v>98.717948717948715</v>
      </c>
      <c r="X77" s="2" t="str">
        <f t="shared" si="7"/>
        <v/>
      </c>
      <c r="Y77" s="2" t="str">
        <f t="shared" si="7"/>
        <v/>
      </c>
      <c r="AB77" t="s">
        <v>51</v>
      </c>
    </row>
    <row r="78" spans="12:33" hidden="1" x14ac:dyDescent="0.25">
      <c r="L78" t="s">
        <v>37</v>
      </c>
      <c r="N78" s="2">
        <f t="shared" ref="N78:Y78" ca="1" si="8">IF(N$67,IF($N$56,N8*$AA$76,""),"")</f>
        <v>88.461538461538467</v>
      </c>
      <c r="O78" s="2">
        <f t="shared" ca="1" si="8"/>
        <v>89.743589743589737</v>
      </c>
      <c r="P78" s="2">
        <f t="shared" ca="1" si="8"/>
        <v>91.025641025641022</v>
      </c>
      <c r="Q78" s="2">
        <f t="shared" ca="1" si="8"/>
        <v>92.307692307692307</v>
      </c>
      <c r="R78" s="2">
        <f t="shared" ca="1" si="8"/>
        <v>93.589743589743591</v>
      </c>
      <c r="S78" s="2">
        <f t="shared" ca="1" si="8"/>
        <v>94.871794871794876</v>
      </c>
      <c r="T78" s="2">
        <f t="shared" ca="1" si="8"/>
        <v>96.15384615384616</v>
      </c>
      <c r="U78" s="2">
        <f t="shared" ca="1" si="8"/>
        <v>97.435897435897431</v>
      </c>
      <c r="V78" s="2">
        <f t="shared" ca="1" si="8"/>
        <v>98.717948717948715</v>
      </c>
      <c r="W78" s="2">
        <f t="shared" ca="1" si="8"/>
        <v>100</v>
      </c>
      <c r="X78" s="2" t="str">
        <f t="shared" si="8"/>
        <v/>
      </c>
      <c r="Y78" s="2" t="str">
        <f t="shared" si="8"/>
        <v/>
      </c>
    </row>
    <row r="79" spans="12:33" hidden="1" x14ac:dyDescent="0.25"/>
    <row r="80" spans="12:33" hidden="1" x14ac:dyDescent="0.25">
      <c r="AA80" t="s">
        <v>41</v>
      </c>
      <c r="AB80" t="s">
        <v>42</v>
      </c>
      <c r="AC80" t="s">
        <v>43</v>
      </c>
      <c r="AG80" t="s">
        <v>44</v>
      </c>
    </row>
    <row r="81" spans="12:37" hidden="1" x14ac:dyDescent="0.25">
      <c r="L81" t="s">
        <v>40</v>
      </c>
      <c r="AA81" s="15">
        <f ca="1">MAX($N76:$Y76)-MIN($N76:$Y76)</f>
        <v>11.538461538461533</v>
      </c>
      <c r="AB81" s="15">
        <f ca="1">MIN($N76:$Y76)</f>
        <v>85.897435897435898</v>
      </c>
      <c r="AC81" s="15">
        <f ca="1">MAX($N76:$Y76)</f>
        <v>97.435897435897431</v>
      </c>
      <c r="AF81" s="9">
        <v>170</v>
      </c>
      <c r="AG81" s="16" t="s">
        <v>45</v>
      </c>
      <c r="AH81" s="15">
        <f ca="1">MIN(AB81:AB83)</f>
        <v>85.897435897435898</v>
      </c>
    </row>
    <row r="82" spans="12:37" hidden="1" x14ac:dyDescent="0.25">
      <c r="L82" t="s">
        <v>38</v>
      </c>
      <c r="AA82" s="15">
        <f ca="1">IF($N$17="Ja",MAX($N77:$Y77)-MIN($N77:$Y77),"")</f>
        <v>11.538461538461533</v>
      </c>
      <c r="AB82" s="15">
        <f ca="1">IF($N$17="Ja",MIN($N77:$Y77),"")</f>
        <v>87.179487179487182</v>
      </c>
      <c r="AC82" s="15">
        <f ca="1">IF($N$17="Ja",MAX($N77:$Y77),"")</f>
        <v>98.717948717948715</v>
      </c>
      <c r="AF82" s="18">
        <f>AF81/100</f>
        <v>1.7</v>
      </c>
      <c r="AG82" s="16" t="s">
        <v>46</v>
      </c>
      <c r="AH82" s="15">
        <f ca="1">MAX(AC81:AC83)</f>
        <v>100</v>
      </c>
    </row>
    <row r="83" spans="12:37" hidden="1" x14ac:dyDescent="0.25">
      <c r="L83" t="s">
        <v>39</v>
      </c>
      <c r="AA83" s="15">
        <f ca="1">IF($N$18="Ja",MAX($N78:$Y78)-MIN($N78:$Y78),"")</f>
        <v>11.538461538461533</v>
      </c>
      <c r="AB83" s="15">
        <f ca="1">IF($N$18="Ja",MIN($N78:$Y78),"")</f>
        <v>88.461538461538467</v>
      </c>
      <c r="AC83" s="15">
        <f ca="1">IF($N$18="Ja",MAX($N78:$Y78),"")</f>
        <v>100</v>
      </c>
      <c r="AG83" s="16" t="s">
        <v>47</v>
      </c>
      <c r="AH83" s="15">
        <f ca="1">(AH82-AH81)*AF82</f>
        <v>23.974358974358974</v>
      </c>
      <c r="AJ83" s="16" t="s">
        <v>48</v>
      </c>
      <c r="AK83" s="17">
        <f ca="1">100/AH83</f>
        <v>4.1711229946524062</v>
      </c>
    </row>
    <row r="84" spans="12:37" hidden="1" x14ac:dyDescent="0.25"/>
    <row r="85" spans="12:37" hidden="1" x14ac:dyDescent="0.25">
      <c r="L85" t="s">
        <v>36</v>
      </c>
    </row>
    <row r="86" spans="12:37" hidden="1" x14ac:dyDescent="0.25">
      <c r="L86" s="2" t="str">
        <f>N13</f>
        <v>Text für IST Werte</v>
      </c>
      <c r="N86" s="15">
        <f ca="1">IF(N$67,(50-($AH$82-$AH$81)/2*$AK$83)+((N76-$AH$81)*$AK$83),#N/A)</f>
        <v>20.588235294117649</v>
      </c>
      <c r="O86" s="15">
        <f ca="1">IF(O$67,(50-($AH$82-$AH$81)/2*$AK$83)+((O76-$AH$81)*$AK$83),#N/A)</f>
        <v>25.93582887700536</v>
      </c>
      <c r="P86" s="15">
        <f ca="1">IF(P$67,(50-($AH$82-$AH$81)/2*$AK$83)+((P76-$AH$81)*$AK$83),#N/A)</f>
        <v>31.283422459893071</v>
      </c>
      <c r="Q86" s="15">
        <f ca="1">IF(Q$67,(50-($AH$82-$AH$81)/2*$AK$83)+((Q76-$AH$81)*$AK$83),#N/A)</f>
        <v>36.631016042780722</v>
      </c>
      <c r="R86" s="15">
        <f ca="1">IF(R$67,(50-($AH$82-$AH$81)/2*$AK$83)+((R76-$AH$81)*$AK$83),#N/A)</f>
        <v>41.978609625668433</v>
      </c>
      <c r="S86" s="15">
        <f ca="1">IF(S$67,(50-($AH$82-$AH$81)/2*$AK$83)+((S76-$AH$81)*$AK$83),#N/A)</f>
        <v>47.326203208556144</v>
      </c>
      <c r="T86" s="15">
        <f ca="1">IF(T$67,(50-($AH$82-$AH$81)/2*$AK$83)+((T76-$AH$81)*$AK$83),#N/A)</f>
        <v>52.673796791443849</v>
      </c>
      <c r="U86" s="15">
        <f ca="1">IF(U$67,(50-($AH$82-$AH$81)/2*$AK$83)+((U76-$AH$81)*$AK$83),#N/A)</f>
        <v>58.02139037433156</v>
      </c>
      <c r="V86" s="15">
        <f ca="1">IF(V$67,(50-($AH$82-$AH$81)/2*$AK$83)+((V76-$AH$81)*$AK$83),#N/A)</f>
        <v>63.368983957219271</v>
      </c>
      <c r="W86" s="15">
        <f ca="1">IF(W$67,(50-($AH$82-$AH$81)/2*$AK$83)+((W76-$AH$81)*$AK$83),#N/A)</f>
        <v>68.716577540106925</v>
      </c>
      <c r="X86" s="15" t="e">
        <f>IF(X$67,(50-($AH$82-$AH$81)/2*$AK$83)+((X76-$AH$81)*$AK$83),#N/A)</f>
        <v>#N/A</v>
      </c>
      <c r="Y86" s="15" t="e">
        <f>IF(Y$67,(50-($AH$82-$AH$81)/2*$AK$83)+((Y76-$AH$81)*$AK$83),#N/A)</f>
        <v>#N/A</v>
      </c>
    </row>
    <row r="87" spans="12:37" hidden="1" x14ac:dyDescent="0.25">
      <c r="L87" s="2" t="str">
        <f>N14</f>
        <v>Text für BUD Werte</v>
      </c>
      <c r="N87" s="15">
        <f ca="1">IFERROR(IF(N$67,(50-($AH$82-$AH$81)/2*$AK$83)+((N77-$AH$81)*$AK$83),#N/A),#N/A)</f>
        <v>25.93582887700536</v>
      </c>
      <c r="O87" s="15">
        <f ca="1">IFERROR(IF(O$67,(50-($AH$82-$AH$81)/2*$AK$83)+((O77-$AH$81)*$AK$83),#N/A),#N/A)</f>
        <v>31.283422459893071</v>
      </c>
      <c r="P87" s="15">
        <f ca="1">IFERROR(IF(P$67,(50-($AH$82-$AH$81)/2*$AK$83)+((P77-$AH$81)*$AK$83),#N/A),#N/A)</f>
        <v>36.631016042780722</v>
      </c>
      <c r="Q87" s="15">
        <f ca="1">IFERROR(IF(Q$67,(50-($AH$82-$AH$81)/2*$AK$83)+((Q77-$AH$81)*$AK$83),#N/A),#N/A)</f>
        <v>41.978609625668433</v>
      </c>
      <c r="R87" s="15">
        <f ca="1">IFERROR(IF(R$67,(50-($AH$82-$AH$81)/2*$AK$83)+((R77-$AH$81)*$AK$83),#N/A),#N/A)</f>
        <v>47.326203208556144</v>
      </c>
      <c r="S87" s="15">
        <f ca="1">IFERROR(IF(S$67,(50-($AH$82-$AH$81)/2*$AK$83)+((S77-$AH$81)*$AK$83),#N/A),#N/A)</f>
        <v>52.673796791443849</v>
      </c>
      <c r="T87" s="15">
        <f ca="1">IFERROR(IF(T$67,(50-($AH$82-$AH$81)/2*$AK$83)+((T77-$AH$81)*$AK$83),#N/A),#N/A)</f>
        <v>58.02139037433156</v>
      </c>
      <c r="U87" s="15">
        <f ca="1">IFERROR(IF(U$67,(50-($AH$82-$AH$81)/2*$AK$83)+((U77-$AH$81)*$AK$83),#N/A),#N/A)</f>
        <v>63.368983957219271</v>
      </c>
      <c r="V87" s="15">
        <f ca="1">IFERROR(IF(V$67,(50-($AH$82-$AH$81)/2*$AK$83)+((V77-$AH$81)*$AK$83),#N/A),#N/A)</f>
        <v>68.716577540106925</v>
      </c>
      <c r="W87" s="15">
        <f ca="1">IFERROR(IF(W$67,(50-($AH$82-$AH$81)/2*$AK$83)+((W77-$AH$81)*$AK$83),#N/A),#N/A)</f>
        <v>74.064171122994637</v>
      </c>
      <c r="X87" s="15" t="e">
        <f>IFERROR(IF(X$67,(50-($AH$82-$AH$81)/2*$AK$83)+((X77-$AH$81)*$AK$83),#N/A),#N/A)</f>
        <v>#N/A</v>
      </c>
      <c r="Y87" s="15" t="e">
        <f>IFERROR(IF(Y$67,(50-($AH$82-$AH$81)/2*$AK$83)+((Y77-$AH$81)*$AK$83),#N/A),#N/A)</f>
        <v>#N/A</v>
      </c>
    </row>
    <row r="88" spans="12:37" hidden="1" x14ac:dyDescent="0.25">
      <c r="L88" s="2" t="str">
        <f>N15</f>
        <v>Text für Vorjahres (Vergleichs) -werte</v>
      </c>
      <c r="N88" s="15">
        <f ca="1">IFERROR(IF(N$67,(50-($AH$82-$AH$81)/2*$AK$83)+((N78-$AH$81)*$AK$83),#N/A),#N/A)</f>
        <v>31.283422459893071</v>
      </c>
      <c r="O88" s="15">
        <f ca="1">IFERROR(IF(O$67,(50-($AH$82-$AH$81)/2*$AK$83)+((O78-$AH$81)*$AK$83),#N/A),#N/A)</f>
        <v>36.631016042780722</v>
      </c>
      <c r="P88" s="15">
        <f ca="1">IFERROR(IF(P$67,(50-($AH$82-$AH$81)/2*$AK$83)+((P78-$AH$81)*$AK$83),#N/A),#N/A)</f>
        <v>41.978609625668433</v>
      </c>
      <c r="Q88" s="15">
        <f ca="1">IFERROR(IF(Q$67,(50-($AH$82-$AH$81)/2*$AK$83)+((Q78-$AH$81)*$AK$83),#N/A),#N/A)</f>
        <v>47.326203208556144</v>
      </c>
      <c r="R88" s="15">
        <f ca="1">IFERROR(IF(R$67,(50-($AH$82-$AH$81)/2*$AK$83)+((R78-$AH$81)*$AK$83),#N/A),#N/A)</f>
        <v>52.673796791443849</v>
      </c>
      <c r="S88" s="15">
        <f ca="1">IFERROR(IF(S$67,(50-($AH$82-$AH$81)/2*$AK$83)+((S78-$AH$81)*$AK$83),#N/A),#N/A)</f>
        <v>58.02139037433156</v>
      </c>
      <c r="T88" s="15">
        <f ca="1">IFERROR(IF(T$67,(50-($AH$82-$AH$81)/2*$AK$83)+((T78-$AH$81)*$AK$83),#N/A),#N/A)</f>
        <v>63.368983957219271</v>
      </c>
      <c r="U88" s="15">
        <f ca="1">IFERROR(IF(U$67,(50-($AH$82-$AH$81)/2*$AK$83)+((U78-$AH$81)*$AK$83),#N/A),#N/A)</f>
        <v>68.716577540106925</v>
      </c>
      <c r="V88" s="15">
        <f ca="1">IFERROR(IF(V$67,(50-($AH$82-$AH$81)/2*$AK$83)+((V78-$AH$81)*$AK$83),#N/A),#N/A)</f>
        <v>74.064171122994637</v>
      </c>
      <c r="W88" s="15">
        <f ca="1">IFERROR(IF(W$67,(50-($AH$82-$AH$81)/2*$AK$83)+((W78-$AH$81)*$AK$83),#N/A),#N/A)</f>
        <v>79.411764705882348</v>
      </c>
      <c r="X88" s="15" t="e">
        <f>IFERROR(IF(X$67,(50-($AH$82-$AH$81)/2*$AK$83)+((X78-$AH$81)*$AK$83),#N/A),#N/A)</f>
        <v>#N/A</v>
      </c>
      <c r="Y88" s="15" t="e">
        <f>IFERROR(IF(Y$67,(50-($AH$82-$AH$81)/2*$AK$83)+((Y78-$AH$81)*$AK$83),#N/A),#N/A)</f>
        <v>#N/A</v>
      </c>
    </row>
    <row r="89" spans="12:37" hidden="1" x14ac:dyDescent="0.25"/>
    <row r="90" spans="12:37" hidden="1" x14ac:dyDescent="0.25"/>
    <row r="91" spans="12:37" hidden="1" x14ac:dyDescent="0.25">
      <c r="L91" s="2" t="str">
        <f>N13</f>
        <v>Text für IST Werte</v>
      </c>
      <c r="N91" s="2">
        <f t="shared" ref="N91:Y92" ca="1" si="9">IF(MONTH(N$5)&lt;=MONTH($N$12),IF($AA$63,-N$6,N$6),#N/A)</f>
        <v>67000</v>
      </c>
      <c r="O91" s="2">
        <f t="shared" ca="1" si="9"/>
        <v>68000</v>
      </c>
      <c r="P91" s="2">
        <f t="shared" ca="1" si="9"/>
        <v>69000</v>
      </c>
      <c r="Q91" s="2">
        <f t="shared" ca="1" si="9"/>
        <v>70000</v>
      </c>
      <c r="R91" s="2">
        <f t="shared" ca="1" si="9"/>
        <v>71000</v>
      </c>
      <c r="S91" s="2">
        <f t="shared" ca="1" si="9"/>
        <v>72000</v>
      </c>
      <c r="T91" s="2">
        <f t="shared" ca="1" si="9"/>
        <v>73000</v>
      </c>
      <c r="U91" s="2">
        <f t="shared" ca="1" si="9"/>
        <v>74000</v>
      </c>
      <c r="V91" s="2">
        <f t="shared" ca="1" si="9"/>
        <v>75000</v>
      </c>
      <c r="W91" s="2">
        <f t="shared" ca="1" si="9"/>
        <v>76000</v>
      </c>
      <c r="X91" s="2" t="e">
        <f t="shared" si="9"/>
        <v>#N/A</v>
      </c>
      <c r="Y91" s="2" t="e">
        <f t="shared" si="9"/>
        <v>#N/A</v>
      </c>
    </row>
    <row r="92" spans="12:37" hidden="1" x14ac:dyDescent="0.25">
      <c r="L92" s="2" t="str">
        <f>N14</f>
        <v>Text für BUD Werte</v>
      </c>
      <c r="N92" s="2">
        <f t="shared" ca="1" si="9"/>
        <v>67000</v>
      </c>
      <c r="O92" s="2">
        <f t="shared" ca="1" si="9"/>
        <v>68000</v>
      </c>
      <c r="P92" s="2">
        <f t="shared" ca="1" si="9"/>
        <v>69000</v>
      </c>
      <c r="Q92" s="2">
        <f t="shared" ca="1" si="9"/>
        <v>70000</v>
      </c>
      <c r="R92" s="2">
        <f t="shared" ca="1" si="9"/>
        <v>71000</v>
      </c>
      <c r="S92" s="2">
        <f t="shared" ca="1" si="9"/>
        <v>72000</v>
      </c>
      <c r="T92" s="2">
        <f t="shared" ca="1" si="9"/>
        <v>73000</v>
      </c>
      <c r="U92" s="2">
        <f t="shared" ca="1" si="9"/>
        <v>74000</v>
      </c>
      <c r="V92" s="2">
        <f t="shared" ca="1" si="9"/>
        <v>75000</v>
      </c>
      <c r="W92" s="2">
        <f t="shared" ca="1" si="9"/>
        <v>76000</v>
      </c>
      <c r="X92" s="2" t="e">
        <f t="shared" si="9"/>
        <v>#N/A</v>
      </c>
      <c r="Y92" s="2" t="e">
        <f t="shared" si="9"/>
        <v>#N/A</v>
      </c>
    </row>
    <row r="93" spans="12:37" hidden="1" x14ac:dyDescent="0.25">
      <c r="L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2:37" hidden="1" x14ac:dyDescent="0.25"/>
    <row r="95" spans="12:37" hidden="1" x14ac:dyDescent="0.25">
      <c r="L95" t="s">
        <v>20</v>
      </c>
    </row>
    <row r="96" spans="12:37" hidden="1" x14ac:dyDescent="0.25">
      <c r="L96" t="s">
        <v>52</v>
      </c>
      <c r="N96" s="15" t="e">
        <f ca="1">IF(AND(N$67,$N$59),IF(MAX(OFFSET($N$76,0,0,3,MONTH($N$12)))=MAX(N$76:N$78),(50-($AH$82-$AH$81)/2*$AK$83)+((MAX(N$76:N$78)-$AH$81)*$AK$83),#N/A),#N/A)</f>
        <v>#N/A</v>
      </c>
      <c r="O96" s="15" t="e">
        <f ca="1">IF(AND(O$67,$N$59),IF(MAX(OFFSET($N$76,0,0,3,MONTH($N$12)))=MAX(O$76:O$78),(50-($AH$82-$AH$81)/2*$AK$83)+((MAX(O$76:O$78)-$AH$81)*$AK$83),#N/A),#N/A)</f>
        <v>#N/A</v>
      </c>
      <c r="P96" s="15" t="e">
        <f ca="1">IF(AND(P$67,$N$59),IF(MAX(OFFSET($N$76,0,0,3,MONTH($N$12)))=MAX(P$76:P$78),(50-($AH$82-$AH$81)/2*$AK$83)+((MAX(P$76:P$78)-$AH$81)*$AK$83),#N/A),#N/A)</f>
        <v>#N/A</v>
      </c>
      <c r="Q96" s="15" t="e">
        <f ca="1">IF(AND(Q$67,$N$59),IF(MAX(OFFSET($N$76,0,0,3,MONTH($N$12)))=MAX(Q$76:Q$78),(50-($AH$82-$AH$81)/2*$AK$83)+((MAX(Q$76:Q$78)-$AH$81)*$AK$83),#N/A),#N/A)</f>
        <v>#N/A</v>
      </c>
      <c r="R96" s="15" t="e">
        <f ca="1">IF(AND(R$67,$N$59),IF(MAX(OFFSET($N$76,0,0,3,MONTH($N$12)))=MAX(R$76:R$78),(50-($AH$82-$AH$81)/2*$AK$83)+((MAX(R$76:R$78)-$AH$81)*$AK$83),#N/A),#N/A)</f>
        <v>#N/A</v>
      </c>
      <c r="S96" s="15" t="e">
        <f ca="1">IF(AND(S$67,$N$59),IF(MAX(OFFSET($N$76,0,0,3,MONTH($N$12)))=MAX(S$76:S$78),(50-($AH$82-$AH$81)/2*$AK$83)+((MAX(S$76:S$78)-$AH$81)*$AK$83),#N/A),#N/A)</f>
        <v>#N/A</v>
      </c>
      <c r="T96" s="15" t="e">
        <f ca="1">IF(AND(T$67,$N$59),IF(MAX(OFFSET($N$76,0,0,3,MONTH($N$12)))=MAX(T$76:T$78),(50-($AH$82-$AH$81)/2*$AK$83)+((MAX(T$76:T$78)-$AH$81)*$AK$83),#N/A),#N/A)</f>
        <v>#N/A</v>
      </c>
      <c r="U96" s="15" t="e">
        <f ca="1">IF(AND(U$67,$N$59),IF(MAX(OFFSET($N$76,0,0,3,MONTH($N$12)))=MAX(U$76:U$78),(50-($AH$82-$AH$81)/2*$AK$83)+((MAX(U$76:U$78)-$AH$81)*$AK$83),#N/A),#N/A)</f>
        <v>#N/A</v>
      </c>
      <c r="V96" s="15" t="e">
        <f ca="1">IF(AND(V$67,$N$59),IF(MAX(OFFSET($N$76,0,0,3,MONTH($N$12)))=MAX(V$76:V$78),(50-($AH$82-$AH$81)/2*$AK$83)+((MAX(V$76:V$78)-$AH$81)*$AK$83),#N/A),#N/A)</f>
        <v>#N/A</v>
      </c>
      <c r="W96" s="15" t="e">
        <f ca="1">IF(AND(W$67,$N$59),IF(MAX(OFFSET($N$76,0,0,3,MONTH($N$12)))=MAX(W$76:W$78),(50-($AH$82-$AH$81)/2*$AK$83)+((MAX(W$76:W$78)-$AH$81)*$AK$83),#N/A),#N/A)</f>
        <v>#N/A</v>
      </c>
      <c r="X96" s="15" t="e">
        <f ca="1">IF(AND(X$67,$N$59),IF(MAX(OFFSET($N$76,0,0,3,MONTH($N$12)))=MAX(X$76:X$78),(50-($AH$82-$AH$81)/2*$AK$83)+((MAX(X$76:X$78)-$AH$81)*$AK$83),#N/A),#N/A)</f>
        <v>#N/A</v>
      </c>
      <c r="Y96" s="15" t="e">
        <f ca="1">IF(AND(Y$67,$N$59),IF(MAX(OFFSET($N$76,0,0,3,MONTH($N$12)))=MAX(Y$76:Y$78),(50-($AH$82-$AH$81)/2*$AK$83)+((MAX(Y$76:Y$78)-$AH$81)*$AK$83),#N/A),#N/A)</f>
        <v>#N/A</v>
      </c>
    </row>
    <row r="97" spans="12:32" hidden="1" x14ac:dyDescent="0.25">
      <c r="L97" t="s">
        <v>21</v>
      </c>
      <c r="N97" s="6" t="str">
        <f ca="1">IF($AA$63,IF(N$67,TEXT(MIN(N$71:N$73)*$AL$63/$AA$110,VLOOKUP($N$26,$AA$104:$AB$106,2,0)),#N/A),IF(N$67,TEXT(MAX(N$71:N$73)*$AL$63/$AA$110,VLOOKUP($N$26,$AA$104:$AB$106,2,0)),#N/A))</f>
        <v>69</v>
      </c>
      <c r="O97" s="6" t="str">
        <f ca="1">IF($AA$63,IF(O$67,TEXT(MIN(O$71:O$73)*$AL$63/$AA$110,VLOOKUP($N$26,$AA$104:$AB$106,2,0)),#N/A),IF(O$67,TEXT(MAX(O$71:O$73)*$AL$63/$AA$110,VLOOKUP($N$26,$AA$104:$AB$106,2,0)),#N/A))</f>
        <v>70</v>
      </c>
      <c r="P97" s="6" t="str">
        <f ca="1">IF($AA$63,IF(P$67,TEXT(MIN(P$71:P$73)*$AL$63/$AA$110,VLOOKUP($N$26,$AA$104:$AB$106,2,0)),#N/A),IF(P$67,TEXT(MAX(P$71:P$73)*$AL$63/$AA$110,VLOOKUP($N$26,$AA$104:$AB$106,2,0)),#N/A))</f>
        <v>71</v>
      </c>
      <c r="Q97" s="6" t="str">
        <f ca="1">IF($AA$63,IF(Q$67,TEXT(MIN(Q$71:Q$73)*$AL$63/$AA$110,VLOOKUP($N$26,$AA$104:$AB$106,2,0)),#N/A),IF(Q$67,TEXT(MAX(Q$71:Q$73)*$AL$63/$AA$110,VLOOKUP($N$26,$AA$104:$AB$106,2,0)),#N/A))</f>
        <v>72</v>
      </c>
      <c r="R97" s="6" t="str">
        <f ca="1">IF($AA$63,IF(R$67,TEXT(MIN(R$71:R$73)*$AL$63/$AA$110,VLOOKUP($N$26,$AA$104:$AB$106,2,0)),#N/A),IF(R$67,TEXT(MAX(R$71:R$73)*$AL$63/$AA$110,VLOOKUP($N$26,$AA$104:$AB$106,2,0)),#N/A))</f>
        <v>73</v>
      </c>
      <c r="S97" s="6" t="str">
        <f ca="1">IF($AA$63,IF(S$67,TEXT(MIN(S$71:S$73)*$AL$63/$AA$110,VLOOKUP($N$26,$AA$104:$AB$106,2,0)),#N/A),IF(S$67,TEXT(MAX(S$71:S$73)*$AL$63/$AA$110,VLOOKUP($N$26,$AA$104:$AB$106,2,0)),#N/A))</f>
        <v>74</v>
      </c>
      <c r="T97" s="6" t="str">
        <f ca="1">IF($AA$63,IF(T$67,TEXT(MIN(T$71:T$73)*$AL$63/$AA$110,VLOOKUP($N$26,$AA$104:$AB$106,2,0)),#N/A),IF(T$67,TEXT(MAX(T$71:T$73)*$AL$63/$AA$110,VLOOKUP($N$26,$AA$104:$AB$106,2,0)),#N/A))</f>
        <v>75</v>
      </c>
      <c r="U97" s="6" t="str">
        <f ca="1">IF($AA$63,IF(U$67,TEXT(MIN(U$71:U$73)*$AL$63/$AA$110,VLOOKUP($N$26,$AA$104:$AB$106,2,0)),#N/A),IF(U$67,TEXT(MAX(U$71:U$73)*$AL$63/$AA$110,VLOOKUP($N$26,$AA$104:$AB$106,2,0)),#N/A))</f>
        <v>76</v>
      </c>
      <c r="V97" s="6" t="str">
        <f ca="1">IF($AA$63,IF(V$67,TEXT(MIN(V$71:V$73)*$AL$63/$AA$110,VLOOKUP($N$26,$AA$104:$AB$106,2,0)),#N/A),IF(V$67,TEXT(MAX(V$71:V$73)*$AL$63/$AA$110,VLOOKUP($N$26,$AA$104:$AB$106,2,0)),#N/A))</f>
        <v>77</v>
      </c>
      <c r="W97" s="6" t="str">
        <f ca="1">IF($AA$63,IF(W$67,TEXT(MIN(W$71:W$73)*$AL$63/$AA$110,VLOOKUP($N$26,$AA$104:$AB$106,2,0)),#N/A),IF(W$67,TEXT(MAX(W$71:W$73)*$AL$63/$AA$110,VLOOKUP($N$26,$AA$104:$AB$106,2,0)),#N/A))</f>
        <v>78</v>
      </c>
      <c r="X97" s="6" t="e">
        <f ca="1">IF($AA$63,IF(X$67,TEXT(MIN(X$71:X$73)*$AL$63/$AA$110,VLOOKUP($N$26,$AA$104:$AB$106,2,0)),#N/A),IF(X$67,TEXT(MAX(X$71:X$73)*$AL$63/$AA$110,VLOOKUP($N$26,$AA$104:$AB$106,2,0)),#N/A))</f>
        <v>#N/A</v>
      </c>
      <c r="Y97" s="6" t="e">
        <f ca="1">IF($AA$63,IF(Y$67,TEXT(MIN(Y$71:Y$73)*$AL$63/$AA$110,VLOOKUP($N$26,$AA$104:$AB$106,2,0)),#N/A),IF(Y$67,TEXT(MAX(Y$71:Y$73)*$AL$63/$AA$110,VLOOKUP($N$26,$AA$104:$AB$106,2,0)),#N/A))</f>
        <v>#N/A</v>
      </c>
    </row>
    <row r="98" spans="12:32" hidden="1" x14ac:dyDescent="0.25"/>
    <row r="99" spans="12:32" hidden="1" x14ac:dyDescent="0.25">
      <c r="L99" t="s">
        <v>53</v>
      </c>
      <c r="N99" s="15" t="e">
        <f ca="1">IF(AND(N$67,$N$59),IF(MIN(OFFSET($N$76,0,0,3,MONTH($N$12)))=MIN(N$76:N$78),(50-($AH$82-$AH$81)/2*$AK$83)+((MIN(N$76:N$78)-$AH$81)*$AK$83),#N/A),#N/A)</f>
        <v>#N/A</v>
      </c>
      <c r="O99" s="15" t="e">
        <f ca="1">IF(AND(O$67,$N$59),IF(MIN(OFFSET($N$76,0,0,3,MONTH($N$12)))=MIN(O$76:O$78),(50-($AH$82-$AH$81)/2*$AK$83)+((MIN(O$76:O$78)-$AH$81)*$AK$83),#N/A),#N/A)</f>
        <v>#N/A</v>
      </c>
      <c r="P99" s="15" t="e">
        <f ca="1">IF(AND(P$67,$N$59),IF(MIN(OFFSET($N$76,0,0,3,MONTH($N$12)))=MIN(P$76:P$78),(50-($AH$82-$AH$81)/2*$AK$83)+((MIN(P$76:P$78)-$AH$81)*$AK$83),#N/A),#N/A)</f>
        <v>#N/A</v>
      </c>
      <c r="Q99" s="15" t="e">
        <f ca="1">IF(AND(Q$67,$N$59),IF(MIN(OFFSET($N$76,0,0,3,MONTH($N$12)))=MIN(Q$76:Q$78),(50-($AH$82-$AH$81)/2*$AK$83)+((MIN(Q$76:Q$78)-$AH$81)*$AK$83),#N/A),#N/A)</f>
        <v>#N/A</v>
      </c>
      <c r="R99" s="15" t="e">
        <f ca="1">IF(AND(R$67,$N$59),IF(MIN(OFFSET($N$76,0,0,3,MONTH($N$12)))=MIN(R$76:R$78),(50-($AH$82-$AH$81)/2*$AK$83)+((MIN(R$76:R$78)-$AH$81)*$AK$83),#N/A),#N/A)</f>
        <v>#N/A</v>
      </c>
      <c r="S99" s="15" t="e">
        <f ca="1">IF(AND(S$67,$N$59),IF(MIN(OFFSET($N$76,0,0,3,MONTH($N$12)))=MIN(S$76:S$78),(50-($AH$82-$AH$81)/2*$AK$83)+((MIN(S$76:S$78)-$AH$81)*$AK$83),#N/A),#N/A)</f>
        <v>#N/A</v>
      </c>
      <c r="T99" s="15" t="e">
        <f ca="1">IF(AND(T$67,$N$59),IF(MIN(OFFSET($N$76,0,0,3,MONTH($N$12)))=MIN(T$76:T$78),(50-($AH$82-$AH$81)/2*$AK$83)+((MIN(T$76:T$78)-$AH$81)*$AK$83),#N/A),#N/A)</f>
        <v>#N/A</v>
      </c>
      <c r="U99" s="15" t="e">
        <f ca="1">IF(AND(U$67,$N$59),IF(MIN(OFFSET($N$76,0,0,3,MONTH($N$12)))=MIN(U$76:U$78),(50-($AH$82-$AH$81)/2*$AK$83)+((MIN(U$76:U$78)-$AH$81)*$AK$83),#N/A),#N/A)</f>
        <v>#N/A</v>
      </c>
      <c r="V99" s="15" t="e">
        <f ca="1">IF(AND(V$67,$N$59),IF(MIN(OFFSET($N$76,0,0,3,MONTH($N$12)))=MIN(V$76:V$78),(50-($AH$82-$AH$81)/2*$AK$83)+((MIN(V$76:V$78)-$AH$81)*$AK$83),#N/A),#N/A)</f>
        <v>#N/A</v>
      </c>
      <c r="W99" s="15" t="e">
        <f ca="1">IF(AND(W$67,$N$59),IF(MIN(OFFSET($N$76,0,0,3,MONTH($N$12)))=MIN(W$76:W$78),(50-($AH$82-$AH$81)/2*$AK$83)+((MIN(W$76:W$78)-$AH$81)*$AK$83),#N/A),#N/A)</f>
        <v>#N/A</v>
      </c>
      <c r="X99" s="15" t="e">
        <f ca="1">IF(AND(X$67,$N$59),IF(MIN(OFFSET($N$76,0,0,3,MONTH($N$12)))=MIN(X$76:X$78),(50-($AH$82-$AH$81)/2*$AK$83)+((MIN(X$76:X$78)-$AH$81)*$AK$83),#N/A),#N/A)</f>
        <v>#N/A</v>
      </c>
      <c r="Y99" s="15" t="e">
        <f ca="1">IF(AND(Y$67,$N$59),IF(MIN(OFFSET($N$76,0,0,3,MONTH($N$12)))=MIN(Y$76:Y$78),(50-($AH$82-$AH$81)/2*$AK$83)+((MIN(Y$76:Y$78)-$AH$81)*$AK$83),#N/A),#N/A)</f>
        <v>#N/A</v>
      </c>
    </row>
    <row r="100" spans="12:32" hidden="1" x14ac:dyDescent="0.25">
      <c r="L100" t="s">
        <v>29</v>
      </c>
      <c r="N100" s="6" t="str">
        <f ca="1">IF($AA$63,IF(N$67,TEXT(MAX(N$71:N$73)*$AL$63/$AA$110,VLOOKUP($N$26,$AA$104:$AB$106,2,0)),#N/A),IF(N$67,TEXT(MIN(N$71:N$73)*$AL$63/$AA$110,VLOOKUP($N$26,$AA$104:$AB$106,2,0)),#N/A))</f>
        <v>67</v>
      </c>
      <c r="O100" s="6" t="str">
        <f ca="1">IF($AA$63,IF(O$67,TEXT(MAX(O$71:O$73)*$AL$63/$AA$110,VLOOKUP($N$26,$AA$104:$AB$106,2,0)),#N/A),IF(O$67,TEXT(MIN(O$71:O$73)*$AL$63/$AA$110,VLOOKUP($N$26,$AA$104:$AB$106,2,0)),#N/A))</f>
        <v>68</v>
      </c>
      <c r="P100" s="6" t="str">
        <f ca="1">IF($AA$63,IF(P$67,TEXT(MAX(P$71:P$73)*$AL$63/$AA$110,VLOOKUP($N$26,$AA$104:$AB$106,2,0)),#N/A),IF(P$67,TEXT(MIN(P$71:P$73)*$AL$63/$AA$110,VLOOKUP($N$26,$AA$104:$AB$106,2,0)),#N/A))</f>
        <v>69</v>
      </c>
      <c r="Q100" s="6" t="str">
        <f ca="1">IF($AA$63,IF(Q$67,TEXT(MAX(Q$71:Q$73)*$AL$63/$AA$110,VLOOKUP($N$26,$AA$104:$AB$106,2,0)),#N/A),IF(Q$67,TEXT(MIN(Q$71:Q$73)*$AL$63/$AA$110,VLOOKUP($N$26,$AA$104:$AB$106,2,0)),#N/A))</f>
        <v>70</v>
      </c>
      <c r="R100" s="6" t="str">
        <f ca="1">IF($AA$63,IF(R$67,TEXT(MAX(R$71:R$73)*$AL$63/$AA$110,VLOOKUP($N$26,$AA$104:$AB$106,2,0)),#N/A),IF(R$67,TEXT(MIN(R$71:R$73)*$AL$63/$AA$110,VLOOKUP($N$26,$AA$104:$AB$106,2,0)),#N/A))</f>
        <v>71</v>
      </c>
      <c r="S100" s="6" t="str">
        <f ca="1">IF($AA$63,IF(S$67,TEXT(MAX(S$71:S$73)*$AL$63/$AA$110,VLOOKUP($N$26,$AA$104:$AB$106,2,0)),#N/A),IF(S$67,TEXT(MIN(S$71:S$73)*$AL$63/$AA$110,VLOOKUP($N$26,$AA$104:$AB$106,2,0)),#N/A))</f>
        <v>72</v>
      </c>
      <c r="T100" s="6" t="str">
        <f ca="1">IF($AA$63,IF(T$67,TEXT(MAX(T$71:T$73)*$AL$63/$AA$110,VLOOKUP($N$26,$AA$104:$AB$106,2,0)),#N/A),IF(T$67,TEXT(MIN(T$71:T$73)*$AL$63/$AA$110,VLOOKUP($N$26,$AA$104:$AB$106,2,0)),#N/A))</f>
        <v>73</v>
      </c>
      <c r="U100" s="6" t="str">
        <f ca="1">IF($AA$63,IF(U$67,TEXT(MAX(U$71:U$73)*$AL$63/$AA$110,VLOOKUP($N$26,$AA$104:$AB$106,2,0)),#N/A),IF(U$67,TEXT(MIN(U$71:U$73)*$AL$63/$AA$110,VLOOKUP($N$26,$AA$104:$AB$106,2,0)),#N/A))</f>
        <v>74</v>
      </c>
      <c r="V100" s="6" t="str">
        <f ca="1">IF($AA$63,IF(V$67,TEXT(MAX(V$71:V$73)*$AL$63/$AA$110,VLOOKUP($N$26,$AA$104:$AB$106,2,0)),#N/A),IF(V$67,TEXT(MIN(V$71:V$73)*$AL$63/$AA$110,VLOOKUP($N$26,$AA$104:$AB$106,2,0)),#N/A))</f>
        <v>75</v>
      </c>
      <c r="W100" s="6" t="str">
        <f ca="1">IF($AA$63,IF(W$67,TEXT(MAX(W$71:W$73)*$AL$63/$AA$110,VLOOKUP($N$26,$AA$104:$AB$106,2,0)),#N/A),IF(W$67,TEXT(MIN(W$71:W$73)*$AL$63/$AA$110,VLOOKUP($N$26,$AA$104:$AB$106,2,0)),#N/A))</f>
        <v>76</v>
      </c>
      <c r="X100" s="6" t="e">
        <f ca="1">IF($AA$63,IF(X$67,TEXT(MAX(X$71:X$73)*$AL$63/$AA$110,VLOOKUP($N$26,$AA$104:$AB$106,2,0)),#N/A),IF(X$67,TEXT(MIN(X$71:X$73)*$AL$63/$AA$110,VLOOKUP($N$26,$AA$104:$AB$106,2,0)),#N/A))</f>
        <v>#N/A</v>
      </c>
      <c r="Y100" s="6" t="e">
        <f ca="1">IF($AA$63,IF(Y$67,TEXT(MAX(Y$71:Y$73)*$AL$63/$AA$110,VLOOKUP($N$26,$AA$104:$AB$106,2,0)),#N/A),IF(Y$67,TEXT(MIN(Y$71:Y$73)*$AL$63/$AA$110,VLOOKUP($N$26,$AA$104:$AB$106,2,0)),#N/A))</f>
        <v>#N/A</v>
      </c>
    </row>
    <row r="101" spans="12:32" hidden="1" x14ac:dyDescent="0.25"/>
    <row r="102" spans="12:32" hidden="1" x14ac:dyDescent="0.25"/>
    <row r="103" spans="12:32" hidden="1" x14ac:dyDescent="0.25"/>
    <row r="104" spans="12:32" hidden="1" x14ac:dyDescent="0.25">
      <c r="L104" s="2" t="s">
        <v>15</v>
      </c>
      <c r="M104" s="2"/>
      <c r="AA104" s="4">
        <v>0</v>
      </c>
      <c r="AB104" s="7" t="s">
        <v>5</v>
      </c>
    </row>
    <row r="105" spans="12:32" hidden="1" x14ac:dyDescent="0.25">
      <c r="AA105" s="4">
        <v>1</v>
      </c>
      <c r="AB105" s="7" t="s">
        <v>6</v>
      </c>
    </row>
    <row r="106" spans="12:32" hidden="1" x14ac:dyDescent="0.25">
      <c r="AA106" s="4">
        <v>2</v>
      </c>
      <c r="AB106" s="7" t="s">
        <v>7</v>
      </c>
    </row>
    <row r="107" spans="12:32" hidden="1" x14ac:dyDescent="0.25"/>
    <row r="108" spans="12:32" hidden="1" x14ac:dyDescent="0.25"/>
    <row r="109" spans="12:32" hidden="1" x14ac:dyDescent="0.25">
      <c r="L109" s="2" t="s">
        <v>16</v>
      </c>
      <c r="M109" s="2"/>
      <c r="AA109" s="5">
        <f>IF(ABS(MAX($N$6:$Y$6))&lt;$AD$110,1,IF(ABS(MAX($N$6:$Y$6))&lt;$AE$110,1000,IF(ABS(MAX($N$6:$Y$6))&lt;$AF$110,1000000,1000000000)))</f>
        <v>1000</v>
      </c>
    </row>
    <row r="110" spans="12:32" hidden="1" x14ac:dyDescent="0.25">
      <c r="L110" s="2" t="s">
        <v>9</v>
      </c>
      <c r="M110" s="2"/>
      <c r="AA110" s="5">
        <f>IF($N$25="Auto",$AA$109,$N$25)</f>
        <v>1000</v>
      </c>
      <c r="AD110" s="4">
        <v>500</v>
      </c>
      <c r="AE110" s="4">
        <v>500000</v>
      </c>
      <c r="AF110" s="4">
        <v>500000000</v>
      </c>
    </row>
    <row r="111" spans="12:32" hidden="1" x14ac:dyDescent="0.25"/>
    <row r="112" spans="12:32" hidden="1" x14ac:dyDescent="0.25"/>
    <row r="113" spans="12:30" hidden="1" x14ac:dyDescent="0.25">
      <c r="L113" s="2" t="s">
        <v>17</v>
      </c>
      <c r="M113" s="2"/>
      <c r="AA113" s="4">
        <v>1</v>
      </c>
      <c r="AB113" s="5" t="str">
        <f>N34</f>
        <v>in CHF</v>
      </c>
    </row>
    <row r="114" spans="12:30" hidden="1" x14ac:dyDescent="0.25">
      <c r="AA114" s="4">
        <v>1000</v>
      </c>
      <c r="AB114" s="5" t="str">
        <f>N35</f>
        <v>in TCHF</v>
      </c>
    </row>
    <row r="115" spans="12:30" hidden="1" x14ac:dyDescent="0.25">
      <c r="AA115" s="4">
        <v>1000000</v>
      </c>
      <c r="AB115" s="5" t="str">
        <f>N36</f>
        <v>in MCHF</v>
      </c>
    </row>
    <row r="116" spans="12:30" hidden="1" x14ac:dyDescent="0.25">
      <c r="AA116" s="4">
        <v>1000000000</v>
      </c>
      <c r="AB116" s="5" t="str">
        <f>N37</f>
        <v>in BCHF</v>
      </c>
      <c r="AD116" s="5" t="str">
        <f>VLOOKUP($AA$110,$AA$113:$AB$116,2,0)</f>
        <v>in TCHF</v>
      </c>
    </row>
    <row r="117" spans="12:30" hidden="1" x14ac:dyDescent="0.25"/>
    <row r="118" spans="12:30" hidden="1" x14ac:dyDescent="0.25"/>
    <row r="119" spans="12:30" hidden="1" x14ac:dyDescent="0.25"/>
    <row r="120" spans="12:30" hidden="1" x14ac:dyDescent="0.25">
      <c r="L120" t="s">
        <v>62</v>
      </c>
      <c r="AA120" s="21">
        <v>0.6</v>
      </c>
      <c r="AB120" s="6">
        <f>IF($N$58,12.5,AA120)</f>
        <v>12.5</v>
      </c>
    </row>
    <row r="121" spans="12:30" hidden="1" x14ac:dyDescent="0.25">
      <c r="AA121" s="4">
        <v>10</v>
      </c>
      <c r="AB121" s="4">
        <v>10</v>
      </c>
    </row>
    <row r="122" spans="12:30" hidden="1" x14ac:dyDescent="0.25">
      <c r="L122" t="s">
        <v>63</v>
      </c>
      <c r="AA122" s="21">
        <v>0.6</v>
      </c>
      <c r="AB122" s="6">
        <f>IF($N$58,12.5,AA122)</f>
        <v>12.5</v>
      </c>
    </row>
    <row r="123" spans="12:30" hidden="1" x14ac:dyDescent="0.25">
      <c r="AA123" s="4">
        <v>50</v>
      </c>
      <c r="AB123" s="4">
        <v>50</v>
      </c>
    </row>
    <row r="124" spans="12:30" hidden="1" x14ac:dyDescent="0.25">
      <c r="L124" t="s">
        <v>64</v>
      </c>
      <c r="AA124" s="21">
        <v>0.6</v>
      </c>
      <c r="AB124" s="6">
        <f>IF($N$58,12.5,AA124)</f>
        <v>12.5</v>
      </c>
    </row>
    <row r="125" spans="12:30" hidden="1" x14ac:dyDescent="0.25">
      <c r="AA125" s="4">
        <v>90</v>
      </c>
      <c r="AB125" s="4">
        <v>90</v>
      </c>
    </row>
    <row r="126" spans="12:30" hidden="1" x14ac:dyDescent="0.25"/>
    <row r="127" spans="12:30" hidden="1" x14ac:dyDescent="0.25"/>
    <row r="128" spans="12:30" hidden="1" x14ac:dyDescent="0.25"/>
    <row r="129" spans="12:31" hidden="1" x14ac:dyDescent="0.25">
      <c r="L129" t="s">
        <v>56</v>
      </c>
      <c r="AA129" s="21">
        <v>0.5</v>
      </c>
      <c r="AB129" s="21">
        <v>0.5</v>
      </c>
    </row>
    <row r="130" spans="12:31" hidden="1" x14ac:dyDescent="0.25">
      <c r="AA130" s="4">
        <v>200</v>
      </c>
      <c r="AB130" s="6">
        <f>IF($N$58,10,#N/A)</f>
        <v>10</v>
      </c>
    </row>
    <row r="131" spans="12:31" hidden="1" x14ac:dyDescent="0.25">
      <c r="L131" t="s">
        <v>58</v>
      </c>
      <c r="AA131" s="4"/>
      <c r="AB131" s="6">
        <f ca="1">(($AB$130-(50-($AH$82-$AH$81)/2*$AK$83))/$AK$83+$AH$81)/$AA$76</f>
        <v>65020.000000000007</v>
      </c>
      <c r="AD131" s="6" t="str">
        <f ca="1">TEXT($AB$131*$AL$63/$AA$110,VLOOKUP($N$26,$AA$104:$AB$106,2,0))</f>
        <v>65</v>
      </c>
      <c r="AE131" t="s">
        <v>21</v>
      </c>
    </row>
    <row r="132" spans="12:31" hidden="1" x14ac:dyDescent="0.25"/>
    <row r="133" spans="12:31" hidden="1" x14ac:dyDescent="0.25">
      <c r="L133" t="s">
        <v>60</v>
      </c>
      <c r="AA133" s="21">
        <v>0.5</v>
      </c>
      <c r="AB133" s="21">
        <v>0.5</v>
      </c>
    </row>
    <row r="134" spans="12:31" hidden="1" x14ac:dyDescent="0.25">
      <c r="AA134" s="4">
        <v>200</v>
      </c>
      <c r="AB134" s="6">
        <f>IF($N$58,50,#N/A)</f>
        <v>50</v>
      </c>
    </row>
    <row r="135" spans="12:31" hidden="1" x14ac:dyDescent="0.25">
      <c r="L135" t="s">
        <v>61</v>
      </c>
      <c r="AA135" s="4"/>
      <c r="AB135" s="6">
        <f ca="1">(($AB$134-(50-($AH$82-$AH$81)/2*$AK$83))/$AK$83+$AH$81)/$AA$76</f>
        <v>72500</v>
      </c>
      <c r="AD135" s="6" t="str">
        <f ca="1">TEXT($AB$135*$AL$63/$AA$110,VLOOKUP($N$26,$AA$104:$AB$106,2,0))</f>
        <v>73</v>
      </c>
      <c r="AE135" t="s">
        <v>21</v>
      </c>
    </row>
    <row r="136" spans="12:31" hidden="1" x14ac:dyDescent="0.25">
      <c r="L136" t="s">
        <v>57</v>
      </c>
      <c r="AA136" s="21">
        <v>0.5</v>
      </c>
      <c r="AB136" s="21">
        <v>0.5</v>
      </c>
    </row>
    <row r="137" spans="12:31" hidden="1" x14ac:dyDescent="0.25">
      <c r="AA137" s="4">
        <v>200</v>
      </c>
      <c r="AB137" s="6">
        <f>IF($N$58,90,#N/A)</f>
        <v>90</v>
      </c>
    </row>
    <row r="138" spans="12:31" hidden="1" x14ac:dyDescent="0.25">
      <c r="L138" t="s">
        <v>59</v>
      </c>
      <c r="AA138" s="4"/>
      <c r="AB138" s="6">
        <f ca="1">(($AB$137-(50-($AH$82-$AH$81)/2*$AK$83))/$AK$83+$AH$81)/$AA$76</f>
        <v>79980</v>
      </c>
      <c r="AD138" s="6" t="str">
        <f ca="1">TEXT($AB$138*$AL$63/$AA$110,VLOOKUP($N$26,$AA$104:$AB$106,2,0))</f>
        <v>80</v>
      </c>
      <c r="AE138" t="s">
        <v>21</v>
      </c>
    </row>
  </sheetData>
  <sheetProtection password="AEE8" sheet="1" objects="1" scenarios="1"/>
  <mergeCells count="18">
    <mergeCell ref="C50:I50"/>
    <mergeCell ref="C51:I51"/>
    <mergeCell ref="C37:I37"/>
    <mergeCell ref="C38:I38"/>
    <mergeCell ref="C39:I39"/>
    <mergeCell ref="C40:I40"/>
    <mergeCell ref="C41:I41"/>
    <mergeCell ref="C42:I42"/>
    <mergeCell ref="C43:I43"/>
    <mergeCell ref="C44:I44"/>
    <mergeCell ref="C45:I45"/>
    <mergeCell ref="C46:I46"/>
    <mergeCell ref="N10:U10"/>
    <mergeCell ref="N13:U13"/>
    <mergeCell ref="N14:U14"/>
    <mergeCell ref="N15:U15"/>
    <mergeCell ref="C49:I49"/>
    <mergeCell ref="C36:I36"/>
  </mergeCells>
  <dataValidations count="5">
    <dataValidation type="list" allowBlank="1" showInputMessage="1" showErrorMessage="1" sqref="N12">
      <formula1>$N$5:$Y$5</formula1>
    </dataValidation>
    <dataValidation type="list" allowBlank="1" showInputMessage="1" showErrorMessage="1" sqref="N25">
      <formula1>" Auto,1,1000,1000000,1000000000"</formula1>
    </dataValidation>
    <dataValidation type="list" allowBlank="1" showInputMessage="1" showErrorMessage="1" sqref="N26">
      <formula1>" 0,1,2"</formula1>
    </dataValidation>
    <dataValidation type="list" allowBlank="1" showInputMessage="1" showErrorMessage="1" sqref="N23 N17:N18">
      <formula1>"Ja,Nein"</formula1>
    </dataValidation>
    <dataValidation type="list" allowBlank="1" showInputMessage="1" showErrorMessage="1" sqref="N20:N21">
      <formula1>"einblenden,ausblenden"</formula1>
    </dataValidation>
  </dataValidations>
  <hyperlinks>
    <hyperlink ref="E1" r:id="rId1"/>
    <hyperlink ref="E32" r:id="rId2"/>
    <hyperlink ref="D1" r:id="rId3"/>
    <hyperlink ref="D32" r:id="rId4"/>
  </hyperlinks>
  <pageMargins left="0.70866141732283472" right="0.70866141732283472" top="0.78740157480314965" bottom="0.78740157480314965" header="0.31496062992125984" footer="0.31496062992125984"/>
  <pageSetup paperSize="9" scale="40" orientation="landscape" r:id="rId5"/>
  <headerFooter>
    <oddFooter>&amp;L&amp;F/&amp;A&amp;CRichard Brander, Herold GmbH&amp;RSeite &amp;P / &amp;N</oddFooter>
  </headerFooter>
  <drawing r:id="rId6"/>
  <legacyDrawing r:id="rId7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8" name="Scroll Bar 3">
              <controlPr defaultSize="0" autoPict="0">
                <anchor moveWithCells="1">
                  <from>
                    <xdr:col>16</xdr:col>
                    <xdr:colOff>19050</xdr:colOff>
                    <xdr:row>17</xdr:row>
                    <xdr:rowOff>19050</xdr:rowOff>
                  </from>
                  <to>
                    <xdr:col>18</xdr:col>
                    <xdr:colOff>704850</xdr:colOff>
                    <xdr:row>18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3 Linien</vt:lpstr>
      <vt:lpstr>'3 Linien'!Druckbereich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Brander, Herold GmbH</dc:creator>
  <dc:description>heroldgmbh@datazug.ch</dc:description>
  <cp:lastModifiedBy>Richard Brander</cp:lastModifiedBy>
  <cp:lastPrinted>2013-06-10T05:05:46Z</cp:lastPrinted>
  <dcterms:created xsi:type="dcterms:W3CDTF">2010-07-30T12:20:36Z</dcterms:created>
  <dcterms:modified xsi:type="dcterms:W3CDTF">2013-11-05T12:55:55Z</dcterms:modified>
</cp:coreProperties>
</file>